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<sst xmlns="http://schemas.openxmlformats.org/spreadsheetml/2006/main" count="498" uniqueCount="289">
  <si>
    <t xml:space="preserve">   </t>
  </si>
  <si>
    <t xml:space="preserve">электроэнергии по подразделениям за  </t>
  </si>
  <si>
    <t>Склады</t>
  </si>
  <si>
    <t>ВСЕГО :</t>
  </si>
  <si>
    <t>Директор филиала центральный сбытом</t>
  </si>
  <si>
    <t>Наружное освещение</t>
  </si>
  <si>
    <t>2. ТРАНЗИТ НА СТОРОНУ,  всего :</t>
  </si>
  <si>
    <t xml:space="preserve">                                      </t>
  </si>
  <si>
    <t xml:space="preserve">                                                6) участок ХВО</t>
  </si>
  <si>
    <t xml:space="preserve">         ВСЕГО ПО ПОДСТАНЦИИ, в том числе :</t>
  </si>
  <si>
    <t xml:space="preserve">  в рублях</t>
  </si>
  <si>
    <t xml:space="preserve">  без НДС</t>
  </si>
  <si>
    <t>ИП Черемискин О.И.</t>
  </si>
  <si>
    <t>ЭЭЦ, всего :</t>
  </si>
  <si>
    <t xml:space="preserve">                     в том числе :  1) котельные</t>
  </si>
  <si>
    <t xml:space="preserve">                                               2) сжатый воздух</t>
  </si>
  <si>
    <t xml:space="preserve">                                               3) вода техническая</t>
  </si>
  <si>
    <t xml:space="preserve">                                               4) электро-ремонтное отделение</t>
  </si>
  <si>
    <t xml:space="preserve">                                                5) участок УСП</t>
  </si>
  <si>
    <t xml:space="preserve">                                                в том числе :   1) АТУ</t>
  </si>
  <si>
    <t xml:space="preserve">                                                                          2) ЖДУ</t>
  </si>
  <si>
    <t xml:space="preserve">    </t>
  </si>
  <si>
    <t xml:space="preserve">Наименование подразделений </t>
  </si>
  <si>
    <t>сумма, руб.</t>
  </si>
  <si>
    <t>ЛЭП "БИЗ"</t>
  </si>
  <si>
    <t>КЛ "Посёлок 1"</t>
  </si>
  <si>
    <t>КЛ "Посёлок 2"</t>
  </si>
  <si>
    <t>КЛ "Посёлок 3"</t>
  </si>
  <si>
    <t>КЛ "Посёлок 4"</t>
  </si>
  <si>
    <t>КЛ "Посёлок 5"</t>
  </si>
  <si>
    <t>ВЛ "Скважина-1"</t>
  </si>
  <si>
    <t>ВЛ "Скважина-2"</t>
  </si>
  <si>
    <t>ВЛ "Ключи"</t>
  </si>
  <si>
    <t>КЛ "Очистные-1"</t>
  </si>
  <si>
    <t>КЛ "Очистные-2"</t>
  </si>
  <si>
    <t>КЛ ул. "Заводская"</t>
  </si>
  <si>
    <t>Л.И. Сидорина</t>
  </si>
  <si>
    <t>______________</t>
  </si>
  <si>
    <t>ООО ПКП "Астер-Строй"</t>
  </si>
  <si>
    <t>Итого по всем потребителям</t>
  </si>
  <si>
    <t xml:space="preserve">1.ОАО "Межрегиональная распределительная сетева компания Урала": </t>
  </si>
  <si>
    <t xml:space="preserve">   с сетей посёлка :  общежитие, ( ул. Молодёжная) день</t>
  </si>
  <si>
    <t xml:space="preserve">                                    общежитие, ( ул. Молодёжная ) ночь</t>
  </si>
  <si>
    <t>Главный энергетик                                                                                            С.Ю. Ничков</t>
  </si>
  <si>
    <t>себестоимость за по УСП</t>
  </si>
  <si>
    <t>1.1</t>
  </si>
  <si>
    <t>1.2</t>
  </si>
  <si>
    <t>1.3</t>
  </si>
  <si>
    <t>1.4</t>
  </si>
  <si>
    <t>Согласован объём транзита ОАО "Свердловэнергосбыт"</t>
  </si>
  <si>
    <t>м.п.</t>
  </si>
  <si>
    <t xml:space="preserve">            ____________</t>
  </si>
  <si>
    <t xml:space="preserve">        С.Ю. Ничков</t>
  </si>
  <si>
    <t>1.5</t>
  </si>
  <si>
    <t>ЦЗЛ</t>
  </si>
  <si>
    <t xml:space="preserve">                                              5) УРГПМО</t>
  </si>
  <si>
    <t>ОАО "Газпромнефть-Урал" (АЗС № 20)</t>
  </si>
  <si>
    <t>1.6</t>
  </si>
  <si>
    <t>Одинокова С.Ю.</t>
  </si>
  <si>
    <t>ОАО "МРСК-Урала" (ОП ЗЭС), в т.ч. :</t>
  </si>
  <si>
    <t>1.7</t>
  </si>
  <si>
    <t>1.8</t>
  </si>
  <si>
    <t>1.9</t>
  </si>
  <si>
    <t>1.10</t>
  </si>
  <si>
    <t>1.11</t>
  </si>
  <si>
    <t>1.12</t>
  </si>
  <si>
    <t>ОАО "Свердловэнергосбыт"</t>
  </si>
  <si>
    <t>ООО "Фитакс"</t>
  </si>
  <si>
    <t xml:space="preserve">      </t>
  </si>
  <si>
    <t xml:space="preserve">с сетей завода :                                                                              </t>
  </si>
  <si>
    <t>Кол-во (кВтч)</t>
  </si>
  <si>
    <t>руб./кВт*ч</t>
  </si>
  <si>
    <t xml:space="preserve">    кВт*ч</t>
  </si>
  <si>
    <t xml:space="preserve"> а) в том числе:</t>
  </si>
  <si>
    <t xml:space="preserve">за оплачиваемый расход электроэнергии по СН-2, руб/кВт*ч  </t>
  </si>
  <si>
    <t>за оплачиваемый расход электроэнергии по ВН, руб./кВт*ч</t>
  </si>
  <si>
    <t xml:space="preserve">общежитие,  ул. Клубная - 2а, кв. № 4 </t>
  </si>
  <si>
    <t xml:space="preserve">               тариф на содержание сетей  ВН ( МВт )</t>
  </si>
  <si>
    <t xml:space="preserve">               тариф на оплату потерь ВН ( МВт*ч )</t>
  </si>
  <si>
    <t xml:space="preserve">                тариф на содержание сетей СН- 2 ( МВт )</t>
  </si>
  <si>
    <t xml:space="preserve">                тариф на оплату потерь СН- 2 ( МВт*ч )</t>
  </si>
  <si>
    <t>(доверенность от 12.12.2012 г.   № СЭСБ - 308 )</t>
  </si>
  <si>
    <t>Все шесть потребителей покупающие электрическую энергию в ОАО "Свердловэнергосбыт"</t>
  </si>
  <si>
    <t>показаний</t>
  </si>
  <si>
    <t>Расход,</t>
  </si>
  <si>
    <t>Приложение № 6.1.</t>
  </si>
  <si>
    <t>к договору энергоснабжения от 02.10.2012 г. №640 К66</t>
  </si>
  <si>
    <t>Акт снятия показаний приборов учёта</t>
  </si>
  <si>
    <t>Исполнитель: главный энергетик Ничков С.Ю.</t>
  </si>
  <si>
    <t>телефон: (343) 372-13-55</t>
  </si>
  <si>
    <t>Адрес: 624013, Свердловская область, Сысертский район, п.Двуреченск</t>
  </si>
  <si>
    <t>Точка учёта</t>
  </si>
  <si>
    <t>№ счётчика</t>
  </si>
  <si>
    <t>Коэф.</t>
  </si>
  <si>
    <t>Потери</t>
  </si>
  <si>
    <t>на начало</t>
  </si>
  <si>
    <t>на конец</t>
  </si>
  <si>
    <t>трансфор-</t>
  </si>
  <si>
    <t>кВт*ч</t>
  </si>
  <si>
    <t>периода</t>
  </si>
  <si>
    <t>мации</t>
  </si>
  <si>
    <t>Активная электрическая энергия</t>
  </si>
  <si>
    <t>Сысертский ГО</t>
  </si>
  <si>
    <t>от сетей ОАО "МРСК Урала"</t>
  </si>
  <si>
    <t>Итого по вводам ПС "Ключи"</t>
  </si>
  <si>
    <t>1.1.</t>
  </si>
  <si>
    <t>в том числе: транзит электрической энергии в сети ОАО "МРСК-Урала" (ТСО) (невычитаемый)</t>
  </si>
  <si>
    <t>1.1.1.</t>
  </si>
  <si>
    <t>ВЛ-35 кВ, "БИЗ-Ключи"</t>
  </si>
  <si>
    <t xml:space="preserve">(АЗС №20)                                                  </t>
  </si>
  <si>
    <t xml:space="preserve">ОАО "Газпромнефть-Урал"                  </t>
  </si>
  <si>
    <t>1.2.</t>
  </si>
  <si>
    <t>в том числе: транзит электрической энергии в сети ОАО "МРСК-Урала" (ТСО)</t>
  </si>
  <si>
    <t>1.2.1.</t>
  </si>
  <si>
    <t>бытовые и прочие потребители,</t>
  </si>
  <si>
    <t>1.2.2.</t>
  </si>
  <si>
    <t>(ф."Ключи"), Жилищно-коммунальные,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</si>
  <si>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</si>
  <si>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</si>
  <si>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</si>
  <si>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</si>
  <si>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</si>
  <si>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</si>
  <si>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</si>
  <si>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</si>
  <si>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</si>
  <si>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(ф."Заводская"), Жилищно-коммунальные,</t>
  </si>
  <si>
    <t>(ф."Посёлок-1,7"), Жилищно-коммунальные,</t>
  </si>
  <si>
    <t>(ф."Посёлок-2"), Жилищно-коммунальные,</t>
  </si>
  <si>
    <t>(ф."Посёлок-3"), Жилищно-коммунальные,</t>
  </si>
  <si>
    <t>(ф."Посёлок-4"), Жилищно-коммунальные,</t>
  </si>
  <si>
    <t>(ф."Посёлок-5,6"), Жилищно-коммунальные,</t>
  </si>
  <si>
    <t>(ф."Скважина-1"), Жилищно-коммунальные,</t>
  </si>
  <si>
    <t>(ф."Скважина-2"), Жилищно-коммунальные,</t>
  </si>
  <si>
    <t>(ф."Очистные-1"), Жилищно-коммунальные,</t>
  </si>
  <si>
    <t>(ф."Очистные-2"), Жилищно-коммунальные,</t>
  </si>
  <si>
    <t>Итого транзит в сети</t>
  </si>
  <si>
    <t>в том числе: транзит электрической энергии транзитным Потребителям, имеющим непосредственное технологическое присоединение к сетям</t>
  </si>
  <si>
    <t>Потребителя и заключившим прямые договоры электроснабжения с Гарантирующим поставщиком</t>
  </si>
  <si>
    <t>1.3.</t>
  </si>
  <si>
    <t>1.3.1.</t>
  </si>
  <si>
    <t>Производственные объекты по адресу:</t>
  </si>
  <si>
    <t xml:space="preserve">Сысертский район, п.Двуреченск </t>
  </si>
  <si>
    <t>1.3.2.</t>
  </si>
  <si>
    <t>1.3.3.</t>
  </si>
  <si>
    <t>1.3.4.</t>
  </si>
  <si>
    <t>1.3.5.</t>
  </si>
  <si>
    <t>1.3.6.</t>
  </si>
  <si>
    <t>1.3.7.</t>
  </si>
  <si>
    <t>Итого транзит Потребителям ГП</t>
  </si>
  <si>
    <t>Итого ПС "Ключи"</t>
  </si>
  <si>
    <t>от сетей ОАО "МРСК-Урала"</t>
  </si>
  <si>
    <t>ТП "Береговая насосная" (ввод №1)</t>
  </si>
  <si>
    <t>по адресу: п.Двуреченск, ул.Ленина</t>
  </si>
  <si>
    <t>ТП "Береговая насосная" (ввод №2)</t>
  </si>
  <si>
    <t>2.1.</t>
  </si>
  <si>
    <t>2.2.</t>
  </si>
  <si>
    <t>2.</t>
  </si>
  <si>
    <t>Итого ТП "Береговая насосная"</t>
  </si>
  <si>
    <t>Итого по договору</t>
  </si>
  <si>
    <t>Потребитель:</t>
  </si>
  <si>
    <t>ООО НПО "Изостер"</t>
  </si>
  <si>
    <t>Все потребители покупающие электрическую энергию в ОАО "Свердловэнергосбыт"</t>
  </si>
  <si>
    <t>Настоящее Приложение является неотьемлемой частью Договора энергоснабжения от 02.10.2012 г. № 640 К66</t>
  </si>
  <si>
    <t>от Потребителя:</t>
  </si>
  <si>
    <t>мп</t>
  </si>
  <si>
    <t>___________________ С.Ю. Ничков</t>
  </si>
  <si>
    <t xml:space="preserve">         Показания счётчиков</t>
  </si>
  <si>
    <t>Реактивная электрическая энергия</t>
  </si>
  <si>
    <t>Приложение № 4</t>
  </si>
  <si>
    <t>к договору электроснабжения от 02.10.2012 г. №640</t>
  </si>
  <si>
    <t>Квартира №4, в жилом здании по адресу:</t>
  </si>
  <si>
    <t>п.Двуреченск, ул. Клубная, 2А</t>
  </si>
  <si>
    <t>п.Двуреченск, ул. Молодёжная, д.3     (ночь)</t>
  </si>
  <si>
    <t>Жилое здание по адресу:                        (день)</t>
  </si>
  <si>
    <t>Здравпункт</t>
  </si>
  <si>
    <t>ФЦ № 1</t>
  </si>
  <si>
    <t>ФЦ № 2</t>
  </si>
  <si>
    <t>ЦРМО, всего :</t>
  </si>
  <si>
    <t xml:space="preserve">    2) участок по ремонту мех.обор. ФЦ</t>
  </si>
  <si>
    <t xml:space="preserve">        </t>
  </si>
  <si>
    <t xml:space="preserve">                                                                                          к регламенту формирования баланса электрической</t>
  </si>
  <si>
    <t xml:space="preserve">                                                                                           Приложение № 2</t>
  </si>
  <si>
    <t xml:space="preserve">                                                                                           энергии в сети Исполнителя к договору № 33ПЭ</t>
  </si>
  <si>
    <t xml:space="preserve">            </t>
  </si>
  <si>
    <t>№ п/п</t>
  </si>
  <si>
    <t>Наименование сетевой организации</t>
  </si>
  <si>
    <t xml:space="preserve">             Объём, переданной электроэнергии, кВт*ч</t>
  </si>
  <si>
    <t>Всего</t>
  </si>
  <si>
    <t>ВН</t>
  </si>
  <si>
    <t>СН-1</t>
  </si>
  <si>
    <t>СН-2</t>
  </si>
  <si>
    <t>НН</t>
  </si>
  <si>
    <t>ОАО "Водоканал"</t>
  </si>
  <si>
    <t xml:space="preserve">                                 Сводная ведомость передачи электроэнергии в сети Исполнителя"</t>
  </si>
  <si>
    <t>Столовая</t>
  </si>
  <si>
    <t xml:space="preserve">   Сумма,</t>
  </si>
  <si>
    <t>ООО "КОФ"</t>
  </si>
  <si>
    <t xml:space="preserve">1. ТЕХНОЛОГИЯ ЗАВОДА, всего:                               </t>
  </si>
  <si>
    <t xml:space="preserve"> </t>
  </si>
  <si>
    <t>ИП Глазырина Н.</t>
  </si>
  <si>
    <t>в том числе : 1) РМУ</t>
  </si>
  <si>
    <t xml:space="preserve">   3) РСУ</t>
  </si>
  <si>
    <t xml:space="preserve">   4) Прачечная</t>
  </si>
  <si>
    <t>Заводоуправление,  и  АБК БРЦ</t>
  </si>
  <si>
    <t xml:space="preserve">          по расходу электроэнергии за  </t>
  </si>
  <si>
    <t>Разность</t>
  </si>
  <si>
    <t>Наименование потребителя</t>
  </si>
  <si>
    <t>Расход</t>
  </si>
  <si>
    <t>Тариф,</t>
  </si>
  <si>
    <t>энергии,</t>
  </si>
  <si>
    <t xml:space="preserve">              </t>
  </si>
  <si>
    <t xml:space="preserve">б) Прочие цели завода , всего ( в том числе ) :                                  </t>
  </si>
  <si>
    <t xml:space="preserve">                    </t>
  </si>
  <si>
    <t xml:space="preserve">                   </t>
  </si>
  <si>
    <t xml:space="preserve">                     </t>
  </si>
  <si>
    <t xml:space="preserve">                          </t>
  </si>
  <si>
    <t>Главный энергетик ОАО "Ключевский завод ферросплавов"</t>
  </si>
  <si>
    <t>____________</t>
  </si>
  <si>
    <t>С.Ю. Ничков</t>
  </si>
  <si>
    <t>Руководитель Арамильского отделения ОАО "Свердловэнергосбыт"</t>
  </si>
  <si>
    <t>______________ А.Л. Мартыновских</t>
  </si>
  <si>
    <t xml:space="preserve">   Показания счётчиков</t>
  </si>
  <si>
    <t>кроме того: транзит электрической энергии в сети ОАО "МРСК-Урала" (ТСО) (невычитаемый)</t>
  </si>
  <si>
    <t xml:space="preserve">                                                                      </t>
  </si>
  <si>
    <t xml:space="preserve">                                     ввод №2, Т-2</t>
  </si>
  <si>
    <t>1.3.7.1</t>
  </si>
  <si>
    <t>январь</t>
  </si>
  <si>
    <t xml:space="preserve">ООО Фитакс"                                             </t>
  </si>
  <si>
    <t xml:space="preserve">ООО ПКП "Астер-Строй"       </t>
  </si>
  <si>
    <t xml:space="preserve">ООО НПО "Изостер"                             </t>
  </si>
  <si>
    <t xml:space="preserve">ИП Черемискин О.И.                         </t>
  </si>
  <si>
    <t xml:space="preserve">в том числе Одинокова С.Ю. </t>
  </si>
  <si>
    <t xml:space="preserve">ООО Фитакс"                                       </t>
  </si>
  <si>
    <t xml:space="preserve">ООО ПКП "Астер-Строй"      </t>
  </si>
  <si>
    <t xml:space="preserve">ООО НПО "Изостер"  </t>
  </si>
  <si>
    <t xml:space="preserve">ИП Черемискин О.И.                       </t>
  </si>
  <si>
    <t xml:space="preserve">в том числе Одинокова С.Ю.  </t>
  </si>
  <si>
    <t xml:space="preserve">ОАО "Водоканал"                         </t>
  </si>
  <si>
    <t xml:space="preserve">ОАО "Водоканал"                           </t>
  </si>
  <si>
    <t xml:space="preserve">                               ф. "Стройбаза" ТП № 20</t>
  </si>
  <si>
    <t>на 20 счёт</t>
  </si>
  <si>
    <t>на 25 счёт</t>
  </si>
  <si>
    <t>транзит</t>
  </si>
  <si>
    <t>кол-во, кВт*ч</t>
  </si>
  <si>
    <t>печи</t>
  </si>
  <si>
    <t>дап</t>
  </si>
  <si>
    <t>всего</t>
  </si>
  <si>
    <t>ээц воздух на дап</t>
  </si>
  <si>
    <t>ээц тепло на сторону</t>
  </si>
  <si>
    <t>электроэнергия</t>
  </si>
  <si>
    <t>Сысертский ГО, от сетей ОАО "МРСК Урала"</t>
  </si>
  <si>
    <t>1.1.2.</t>
  </si>
  <si>
    <t>1.1.3.</t>
  </si>
  <si>
    <t>1.1.4.</t>
  </si>
  <si>
    <t>условно-постоянные потери</t>
  </si>
  <si>
    <t>переменные потери</t>
  </si>
  <si>
    <t>Сысертский ГО от сетей ОАО "МРСК Урала"</t>
  </si>
  <si>
    <t>Потребитель: ПАО "Ключевский завод ферросплавов"</t>
  </si>
  <si>
    <t>Главный энергетик ПАО "КЗФ"</t>
  </si>
  <si>
    <t>ПАО "Ключевский завод                                                           Бухгалтерии завода</t>
  </si>
  <si>
    <t>Главный энергетик ПАО "КЗФ"     _________________ С.Ю. Ничков</t>
  </si>
  <si>
    <t>ферросплавов"                              ОТЧЁТ                                 планово-экономическому отделу</t>
  </si>
  <si>
    <t>относятся к группе потребителей - прочие потребители</t>
  </si>
  <si>
    <t xml:space="preserve">                                                          </t>
  </si>
  <si>
    <t>ферросплавов"                              РАСХОД                             Планово-экономическому отделу</t>
  </si>
  <si>
    <t xml:space="preserve">Транспортный цех, всего :    </t>
  </si>
  <si>
    <t>ЦАП ( цех № 3 )</t>
  </si>
  <si>
    <t xml:space="preserve"> от сетей ООО "Стоун"</t>
  </si>
  <si>
    <t>ООО "Стоун",           ввод №1, Т-1</t>
  </si>
  <si>
    <t xml:space="preserve"> от сетей ООО "Стоун"     </t>
  </si>
  <si>
    <t>ОАО "ЭнергосбытПлюс"</t>
  </si>
  <si>
    <t>ООО "Стоун"</t>
  </si>
  <si>
    <t>ОАО "ЭнергосбытПлюс" зап.сбыт</t>
  </si>
  <si>
    <t>ввод № 1</t>
  </si>
  <si>
    <t>ввод №2</t>
  </si>
  <si>
    <t>ООО "Стоун",      РП № 16, ввод №1, Т-1</t>
  </si>
  <si>
    <t xml:space="preserve">                                РП № 16, ввод №2, Т-2</t>
  </si>
  <si>
    <t>Представитель ОАО "МРСК-Урала" ( ЦЭС)</t>
  </si>
  <si>
    <t xml:space="preserve">суточный расход э/э с ПС №3 на паровую за 1 - 1886,4, за 2 - 1895,4 </t>
  </si>
  <si>
    <t>к расчёту принимаем среднее значение 1891 * 31 = 58621 кВт*ч месяц</t>
  </si>
  <si>
    <t>за январь 2021 г.</t>
  </si>
  <si>
    <t>Главный энергетик ПАО "Ключевский завод ферросплавов" по доверенности № 13-2/127 от 18.12.2020 г.         ______________ С.Ю. Ничков</t>
  </si>
  <si>
    <t>(доверенность от 18.12.2020 г. № 13-2/127 )</t>
  </si>
  <si>
    <t>за январь 2021 года</t>
  </si>
  <si>
    <t xml:space="preserve">   2021 г.</t>
  </si>
  <si>
    <t>07-9/        " ___ " января 2021 г.   Главный энергетик                                                                                                                   С.Ю. Ничков</t>
  </si>
  <si>
    <t xml:space="preserve">  2021 г.</t>
  </si>
  <si>
    <t xml:space="preserve">07-9/        "___ " января  2021 г.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</si>
</sst>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0.00000"/>
    <numFmt numFmtId="178" formatCode="0.000000"/>
    <numFmt numFmtId="179" formatCode="#,##0.000_р_."/>
    <numFmt numFmtId="180" formatCode="#,##0.0000_р_."/>
    <numFmt numFmtId="181" formatCode="#,##0.00_р_."/>
    <numFmt numFmtId="182" formatCode="#,##0.00000_р_."/>
    <numFmt numFmtId="183" formatCode="#,##0.0"/>
    <numFmt numFmtId="184" formatCode="#,##0.000000_р_."/>
    <numFmt numFmtId="185" formatCode="#,##0.0000"/>
    <numFmt numFmtId="186" formatCode="0000.0"/>
    <numFmt numFmtId="187" formatCode="#,##0.0_р_."/>
    <numFmt numFmtId="188" formatCode="#,##0.000"/>
    <numFmt numFmtId="189" formatCode="000000.0"/>
    <numFmt numFmtId="190" formatCode="00000.0"/>
    <numFmt numFmtId="191" formatCode="000000.00"/>
    <numFmt numFmtId="192" formatCode="0.00000000"/>
    <numFmt numFmtId="193" formatCode="#,##0.0000000_р_."/>
    <numFmt numFmtId="194" formatCode="#,##0.00000000_р_."/>
    <numFmt numFmtId="195" formatCode="0.000000000"/>
    <numFmt numFmtId="196" formatCode="#,##0.000000000_р_."/>
    <numFmt numFmtId="197" formatCode="0.0000000000"/>
    <numFmt numFmtId="198" formatCode="#,##0.0000000000_р_."/>
    <numFmt numFmtId="199" formatCode="00000"/>
    <numFmt numFmtId="200" formatCode="0.0000000"/>
    <numFmt numFmtId="201" formatCode="000000"/>
    <numFmt numFmtId="202" formatCode="0000000000000000"/>
    <numFmt numFmtId="203" formatCode="0.000"/>
    <numFmt numFmtId="204" formatCode="[$-FC19]d\ mmmm\ yyyy\ &quot;г.&quot;"/>
    <numFmt numFmtId="205" formatCode="0000.000"/>
    <numFmt numFmtId="206" formatCode="0000000000"/>
    <numFmt numFmtId="207" formatCode="00000000"/>
    <numFmt numFmtId="208" formatCode="0000000"/>
    <numFmt numFmtId="209" formatCode="000000.0000"/>
    <numFmt numFmtId="210" formatCode="0.0000"/>
    <numFmt numFmtId="211" formatCode="#,##0.000000000"/>
    <numFmt numFmtId="212" formatCode="#,##0_р_."/>
    <numFmt numFmtId="213" formatCode="00000.0000"/>
    <numFmt numFmtId="214" formatCode="00000.00"/>
    <numFmt numFmtId="215" formatCode="000000.000"/>
    <numFmt numFmtId="216" formatCode="00000.000"/>
    <numFmt numFmtId="217" formatCode="#,##0.00&quot;р.&quot;"/>
    <numFmt numFmtId="218" formatCode="000000000"/>
    <numFmt numFmtId="219" formatCode="#,##0.00000"/>
    <numFmt numFmtId="220" formatCode="#,##0.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1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22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24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206" fontId="8" fillId="0" borderId="13" xfId="0" applyNumberFormat="1" applyFont="1" applyBorder="1" applyAlignment="1">
      <alignment horizontal="center"/>
    </xf>
    <xf numFmtId="206" fontId="8" fillId="0" borderId="14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90" fontId="8" fillId="0" borderId="2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190" fontId="8" fillId="0" borderId="16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1" fontId="9" fillId="0" borderId="18" xfId="0" applyNumberFormat="1" applyFont="1" applyBorder="1" applyAlignment="1">
      <alignment horizontal="center"/>
    </xf>
    <xf numFmtId="189" fontId="8" fillId="0" borderId="18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207" fontId="8" fillId="0" borderId="10" xfId="0" applyNumberFormat="1" applyFont="1" applyBorder="1" applyAlignment="1">
      <alignment horizontal="center"/>
    </xf>
    <xf numFmtId="189" fontId="8" fillId="0" borderId="10" xfId="0" applyNumberFormat="1" applyFont="1" applyBorder="1" applyAlignment="1">
      <alignment horizontal="center"/>
    </xf>
    <xf numFmtId="176" fontId="8" fillId="0" borderId="10" xfId="0" applyNumberFormat="1" applyFont="1" applyBorder="1" applyAlignment="1">
      <alignment horizontal="center"/>
    </xf>
    <xf numFmtId="206" fontId="8" fillId="0" borderId="10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176" fontId="9" fillId="0" borderId="20" xfId="0" applyNumberFormat="1" applyFont="1" applyBorder="1" applyAlignment="1">
      <alignment/>
    </xf>
    <xf numFmtId="1" fontId="8" fillId="0" borderId="20" xfId="0" applyNumberFormat="1" applyFont="1" applyBorder="1" applyAlignment="1">
      <alignment horizontal="center"/>
    </xf>
    <xf numFmtId="189" fontId="8" fillId="0" borderId="20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" fontId="8" fillId="0" borderId="16" xfId="0" applyNumberFormat="1" applyFont="1" applyBorder="1" applyAlignment="1">
      <alignment horizontal="center"/>
    </xf>
    <xf numFmtId="189" fontId="8" fillId="0" borderId="16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176" fontId="8" fillId="0" borderId="14" xfId="0" applyNumberFormat="1" applyFont="1" applyBorder="1" applyAlignment="1">
      <alignment horizontal="center"/>
    </xf>
    <xf numFmtId="190" fontId="8" fillId="0" borderId="14" xfId="0" applyNumberFormat="1" applyFont="1" applyBorder="1" applyAlignment="1">
      <alignment horizontal="center"/>
    </xf>
    <xf numFmtId="183" fontId="8" fillId="0" borderId="14" xfId="0" applyNumberFormat="1" applyFont="1" applyBorder="1" applyAlignment="1">
      <alignment horizontal="center"/>
    </xf>
    <xf numFmtId="209" fontId="8" fillId="0" borderId="10" xfId="0" applyNumberFormat="1" applyFont="1" applyBorder="1" applyAlignment="1">
      <alignment horizontal="center"/>
    </xf>
    <xf numFmtId="186" fontId="8" fillId="0" borderId="10" xfId="0" applyNumberFormat="1" applyFont="1" applyBorder="1" applyAlignment="1">
      <alignment horizontal="center"/>
    </xf>
    <xf numFmtId="176" fontId="8" fillId="0" borderId="13" xfId="0" applyNumberFormat="1" applyFont="1" applyBorder="1" applyAlignment="1">
      <alignment horizontal="center"/>
    </xf>
    <xf numFmtId="190" fontId="8" fillId="0" borderId="13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185" fontId="8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0" xfId="0" applyNumberFormat="1" applyFont="1" applyBorder="1" applyAlignment="1">
      <alignment/>
    </xf>
    <xf numFmtId="180" fontId="8" fillId="0" borderId="21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81" fontId="8" fillId="0" borderId="17" xfId="0" applyNumberFormat="1" applyFont="1" applyBorder="1" applyAlignment="1">
      <alignment/>
    </xf>
    <xf numFmtId="181" fontId="8" fillId="0" borderId="24" xfId="0" applyNumberFormat="1" applyFont="1" applyBorder="1" applyAlignment="1">
      <alignment/>
    </xf>
    <xf numFmtId="210" fontId="8" fillId="0" borderId="10" xfId="0" applyNumberFormat="1" applyFont="1" applyBorder="1" applyAlignment="1">
      <alignment horizontal="center"/>
    </xf>
    <xf numFmtId="185" fontId="8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197" fontId="10" fillId="0" borderId="11" xfId="0" applyNumberFormat="1" applyFont="1" applyBorder="1" applyAlignment="1">
      <alignment horizontal="center"/>
    </xf>
    <xf numFmtId="183" fontId="8" fillId="0" borderId="13" xfId="0" applyNumberFormat="1" applyFont="1" applyBorder="1" applyAlignment="1">
      <alignment horizontal="center"/>
    </xf>
    <xf numFmtId="182" fontId="8" fillId="0" borderId="13" xfId="0" applyNumberFormat="1" applyFont="1" applyBorder="1" applyAlignment="1">
      <alignment/>
    </xf>
    <xf numFmtId="182" fontId="8" fillId="0" borderId="14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1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89" fontId="8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10" fillId="0" borderId="20" xfId="0" applyFont="1" applyBorder="1" applyAlignment="1">
      <alignment/>
    </xf>
    <xf numFmtId="4" fontId="8" fillId="0" borderId="0" xfId="0" applyNumberFormat="1" applyFont="1" applyAlignment="1">
      <alignment/>
    </xf>
    <xf numFmtId="211" fontId="8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3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12" fontId="8" fillId="0" borderId="1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80" fontId="8" fillId="0" borderId="14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194" fontId="7" fillId="0" borderId="10" xfId="0" applyNumberFormat="1" applyFont="1" applyBorder="1" applyAlignment="1">
      <alignment horizontal="center"/>
    </xf>
    <xf numFmtId="183" fontId="8" fillId="0" borderId="21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/>
    </xf>
    <xf numFmtId="181" fontId="8" fillId="0" borderId="13" xfId="0" applyNumberFormat="1" applyFont="1" applyBorder="1" applyAlignment="1">
      <alignment horizontal="center"/>
    </xf>
    <xf numFmtId="194" fontId="8" fillId="0" borderId="11" xfId="0" applyNumberFormat="1" applyFont="1" applyBorder="1" applyAlignment="1">
      <alignment horizontal="center"/>
    </xf>
    <xf numFmtId="194" fontId="8" fillId="0" borderId="10" xfId="0" applyNumberFormat="1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4" fontId="8" fillId="0" borderId="11" xfId="0" applyNumberFormat="1" applyFont="1" applyBorder="1" applyAlignment="1">
      <alignment horizontal="center"/>
    </xf>
    <xf numFmtId="196" fontId="10" fillId="0" borderId="11" xfId="0" applyNumberFormat="1" applyFont="1" applyBorder="1" applyAlignment="1">
      <alignment horizontal="center"/>
    </xf>
    <xf numFmtId="182" fontId="8" fillId="0" borderId="11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181" fontId="8" fillId="0" borderId="14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188" fontId="8" fillId="0" borderId="21" xfId="0" applyNumberFormat="1" applyFont="1" applyBorder="1" applyAlignment="1">
      <alignment horizontal="center"/>
    </xf>
    <xf numFmtId="181" fontId="8" fillId="0" borderId="11" xfId="0" applyNumberFormat="1" applyFont="1" applyBorder="1" applyAlignment="1">
      <alignment horizontal="center"/>
    </xf>
    <xf numFmtId="179" fontId="8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213" fontId="8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07" fontId="8" fillId="0" borderId="21" xfId="0" applyNumberFormat="1" applyFont="1" applyBorder="1" applyAlignment="1">
      <alignment horizontal="center"/>
    </xf>
    <xf numFmtId="206" fontId="8" fillId="0" borderId="21" xfId="0" applyNumberFormat="1" applyFont="1" applyBorder="1" applyAlignment="1">
      <alignment horizontal="center"/>
    </xf>
    <xf numFmtId="190" fontId="8" fillId="0" borderId="10" xfId="0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1" xfId="0" applyFont="1" applyBorder="1" applyAlignment="1">
      <alignment horizontal="center"/>
    </xf>
    <xf numFmtId="208" fontId="8" fillId="0" borderId="21" xfId="0" applyNumberFormat="1" applyFont="1" applyBorder="1" applyAlignment="1">
      <alignment horizontal="center"/>
    </xf>
    <xf numFmtId="202" fontId="10" fillId="0" borderId="2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89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202" fontId="10" fillId="0" borderId="0" xfId="0" applyNumberFormat="1" applyFont="1" applyBorder="1" applyAlignment="1">
      <alignment horizontal="center"/>
    </xf>
    <xf numFmtId="189" fontId="8" fillId="0" borderId="0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" fontId="8" fillId="0" borderId="13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214" fontId="8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09" fontId="8" fillId="0" borderId="14" xfId="0" applyNumberFormat="1" applyFont="1" applyBorder="1" applyAlignment="1">
      <alignment horizontal="center"/>
    </xf>
    <xf numFmtId="210" fontId="8" fillId="0" borderId="14" xfId="0" applyNumberFormat="1" applyFont="1" applyBorder="1" applyAlignment="1">
      <alignment horizontal="center"/>
    </xf>
    <xf numFmtId="213" fontId="8" fillId="0" borderId="13" xfId="0" applyNumberFormat="1" applyFont="1" applyBorder="1" applyAlignment="1">
      <alignment horizontal="center"/>
    </xf>
    <xf numFmtId="210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17" fontId="8" fillId="0" borderId="0" xfId="0" applyNumberFormat="1" applyFont="1" applyAlignment="1">
      <alignment horizontal="center"/>
    </xf>
    <xf numFmtId="206" fontId="8" fillId="0" borderId="20" xfId="0" applyNumberFormat="1" applyFont="1" applyBorder="1" applyAlignment="1">
      <alignment horizontal="center"/>
    </xf>
    <xf numFmtId="209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210" fontId="8" fillId="0" borderId="2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191" fontId="8" fillId="0" borderId="10" xfId="0" applyNumberFormat="1" applyFont="1" applyBorder="1" applyAlignment="1">
      <alignment horizontal="center"/>
    </xf>
    <xf numFmtId="218" fontId="10" fillId="0" borderId="10" xfId="0" applyNumberFormat="1" applyFont="1" applyBorder="1" applyAlignment="1">
      <alignment horizontal="center"/>
    </xf>
    <xf numFmtId="213" fontId="8" fillId="0" borderId="17" xfId="0" applyNumberFormat="1" applyFont="1" applyBorder="1" applyAlignment="1">
      <alignment horizontal="center"/>
    </xf>
    <xf numFmtId="190" fontId="8" fillId="0" borderId="19" xfId="0" applyNumberFormat="1" applyFont="1" applyBorder="1" applyAlignment="1">
      <alignment horizontal="center"/>
    </xf>
    <xf numFmtId="188" fontId="4" fillId="0" borderId="0" xfId="0" applyNumberFormat="1" applyFont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220" fontId="8" fillId="0" borderId="2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37"/>
  <sheetViews>
    <sheetView tabSelected="1" zoomScalePageLayoutView="0" workbookViewId="0" topLeftCell="AR1">
      <selection activeCell="J193" sqref="J193"/>
    </sheetView>
  </sheetViews>
  <sheetFormatPr defaultColWidth="9.00390625" defaultRowHeight="12.75"/>
  <cols>
    <col min="1" max="1" width="5.625" style="0" customWidth="1"/>
    <col min="2" max="2" width="37.625" style="0" customWidth="1"/>
    <col min="3" max="3" width="14.875" style="0" customWidth="1"/>
    <col min="4" max="4" width="13.25390625" style="0" customWidth="1"/>
    <col min="5" max="5" width="12.625" style="0" customWidth="1"/>
    <col min="6" max="6" width="9.375" style="0" customWidth="1"/>
    <col min="7" max="7" width="10.375" style="0" customWidth="1"/>
    <col min="8" max="8" width="7.125" style="0" customWidth="1"/>
    <col min="9" max="9" width="12.25390625" style="0" customWidth="1"/>
    <col min="10" max="10" width="5.625" style="0" customWidth="1"/>
    <col min="11" max="11" width="36.75390625" style="0" customWidth="1"/>
    <col min="12" max="12" width="14.875" style="0" customWidth="1"/>
    <col min="13" max="13" width="13.25390625" style="0" customWidth="1"/>
    <col min="14" max="14" width="12.375" style="0" customWidth="1"/>
    <col min="15" max="15" width="9.375" style="0" customWidth="1"/>
    <col min="16" max="16" width="10.375" style="0" customWidth="1"/>
    <col min="18" max="18" width="12.375" style="0" customWidth="1"/>
    <col min="19" max="19" width="6.75390625" style="0" customWidth="1"/>
    <col min="20" max="20" width="12.375" style="0" customWidth="1"/>
    <col min="21" max="21" width="10.25390625" style="0" customWidth="1"/>
    <col min="22" max="22" width="25.25390625" style="0" customWidth="1"/>
    <col min="23" max="23" width="13.625" style="0" customWidth="1"/>
    <col min="24" max="24" width="14.625" style="0" customWidth="1"/>
    <col min="25" max="25" width="13.125" style="0" customWidth="1"/>
    <col min="26" max="26" width="13.25390625" style="0" customWidth="1"/>
    <col min="27" max="27" width="11.625" style="0" customWidth="1"/>
    <col min="28" max="28" width="7.75390625" style="0" customWidth="1"/>
    <col min="31" max="31" width="38.00390625" style="0" customWidth="1"/>
    <col min="32" max="32" width="11.25390625" style="0" customWidth="1"/>
    <col min="33" max="33" width="11.625" style="0" customWidth="1"/>
    <col min="34" max="34" width="11.75390625" style="0" customWidth="1"/>
    <col min="35" max="35" width="12.75390625" style="0" customWidth="1"/>
    <col min="36" max="36" width="12.00390625" style="0" customWidth="1"/>
    <col min="37" max="37" width="6.375" style="0" customWidth="1"/>
    <col min="40" max="40" width="31.625" style="0" customWidth="1"/>
    <col min="41" max="41" width="13.125" style="0" customWidth="1"/>
    <col min="42" max="42" width="12.75390625" style="0" customWidth="1"/>
    <col min="43" max="43" width="12.00390625" style="0" customWidth="1"/>
    <col min="44" max="44" width="12.875" style="0" customWidth="1"/>
    <col min="45" max="45" width="12.375" style="0" customWidth="1"/>
    <col min="51" max="51" width="31.125" style="0" customWidth="1"/>
    <col min="52" max="52" width="13.375" style="0" customWidth="1"/>
    <col min="53" max="53" width="13.125" style="0" customWidth="1"/>
    <col min="54" max="54" width="14.375" style="0" customWidth="1"/>
    <col min="56" max="56" width="11.125" style="0" customWidth="1"/>
    <col min="59" max="59" width="17.75390625" style="0" customWidth="1"/>
    <col min="60" max="60" width="22.375" style="0" customWidth="1"/>
    <col min="61" max="61" width="14.875" style="0" customWidth="1"/>
    <col min="62" max="62" width="12.25390625" style="0" customWidth="1"/>
    <col min="63" max="63" width="11.75390625" style="0" customWidth="1"/>
    <col min="64" max="64" width="10.00390625" style="0" customWidth="1"/>
    <col min="68" max="68" width="6.75390625" style="0" customWidth="1"/>
    <col min="69" max="69" width="10.625" style="0" customWidth="1"/>
    <col min="78" max="78" width="11.625" style="0" customWidth="1"/>
    <col min="84" max="84" width="10.375" style="0" customWidth="1"/>
  </cols>
  <sheetData>
    <row r="1" spans="1:54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24"/>
      <c r="T1" s="24"/>
      <c r="U1" s="24"/>
      <c r="V1" s="24"/>
      <c r="W1" s="24"/>
      <c r="X1" s="24"/>
      <c r="Y1" s="24"/>
      <c r="Z1" s="24"/>
      <c r="AA1" s="24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24"/>
      <c r="AU1" s="7"/>
      <c r="AV1" s="7"/>
      <c r="AW1" s="7"/>
      <c r="AX1" s="7"/>
      <c r="AY1" s="7"/>
      <c r="AZ1" s="7"/>
      <c r="BA1" s="7"/>
      <c r="BB1" s="7"/>
    </row>
    <row r="2" spans="1:54" ht="12.75">
      <c r="A2" s="7"/>
      <c r="B2" s="7"/>
      <c r="C2" s="7"/>
      <c r="D2" s="7" t="s">
        <v>85</v>
      </c>
      <c r="E2" s="7"/>
      <c r="F2" s="7"/>
      <c r="G2" s="7"/>
      <c r="H2" s="7"/>
      <c r="I2" s="7"/>
      <c r="J2" s="7"/>
      <c r="K2" s="7"/>
      <c r="L2" s="7"/>
      <c r="M2" s="7" t="s">
        <v>169</v>
      </c>
      <c r="N2" s="7"/>
      <c r="O2" s="7"/>
      <c r="P2" s="7"/>
      <c r="Q2" s="7"/>
      <c r="R2" s="7"/>
      <c r="S2" s="24"/>
      <c r="T2" s="24"/>
      <c r="U2" s="24"/>
      <c r="V2" s="24"/>
      <c r="W2" s="24"/>
      <c r="X2" s="24"/>
      <c r="Y2" s="24"/>
      <c r="Z2" s="24"/>
      <c r="AA2" s="24"/>
      <c r="AB2" s="7" t="s">
        <v>182</v>
      </c>
      <c r="AC2" s="7"/>
      <c r="AD2" s="7"/>
      <c r="AE2" s="7"/>
      <c r="AF2" s="7"/>
      <c r="AG2" s="7"/>
      <c r="AH2" s="7"/>
      <c r="AI2" s="7"/>
      <c r="AJ2" s="7"/>
      <c r="AK2" s="7" t="s">
        <v>182</v>
      </c>
      <c r="AL2" s="7"/>
      <c r="AM2" s="7"/>
      <c r="AN2" s="7"/>
      <c r="AO2" s="7"/>
      <c r="AP2" s="7"/>
      <c r="AQ2" s="7"/>
      <c r="AR2" s="7"/>
      <c r="AS2" s="7"/>
      <c r="AT2" s="24" t="s">
        <v>260</v>
      </c>
      <c r="AU2" s="7"/>
      <c r="AV2" s="7"/>
      <c r="AW2" s="7"/>
      <c r="AX2" s="7"/>
      <c r="AY2" s="7"/>
      <c r="AZ2" s="7"/>
      <c r="BA2" s="7"/>
      <c r="BB2" s="7"/>
    </row>
    <row r="3" spans="1:67" ht="12.75">
      <c r="A3" s="7"/>
      <c r="B3" s="7"/>
      <c r="C3" s="7"/>
      <c r="D3" s="7" t="s">
        <v>86</v>
      </c>
      <c r="E3" s="7"/>
      <c r="F3" s="7"/>
      <c r="G3" s="7"/>
      <c r="H3" s="7"/>
      <c r="I3" s="7"/>
      <c r="J3" s="7"/>
      <c r="K3" s="7"/>
      <c r="L3" s="7"/>
      <c r="M3" s="7" t="s">
        <v>170</v>
      </c>
      <c r="N3" s="7"/>
      <c r="O3" s="7"/>
      <c r="P3" s="7"/>
      <c r="Q3" s="7"/>
      <c r="R3" s="7"/>
      <c r="S3" s="7" t="s">
        <v>182</v>
      </c>
      <c r="T3" s="7"/>
      <c r="U3" s="7"/>
      <c r="V3" s="7"/>
      <c r="W3" s="7"/>
      <c r="X3" s="7"/>
      <c r="Y3" s="7"/>
      <c r="Z3" s="7"/>
      <c r="AA3" s="7"/>
      <c r="AB3" s="7" t="s">
        <v>181</v>
      </c>
      <c r="AC3" s="7"/>
      <c r="AD3" s="7"/>
      <c r="AE3" s="7"/>
      <c r="AF3" s="7"/>
      <c r="AG3" s="7"/>
      <c r="AH3" s="7"/>
      <c r="AI3" s="7"/>
      <c r="AJ3" s="7"/>
      <c r="AK3" s="7" t="s">
        <v>181</v>
      </c>
      <c r="AL3" s="7"/>
      <c r="AM3" s="7"/>
      <c r="AN3" s="7"/>
      <c r="AO3" s="7"/>
      <c r="AP3" s="7"/>
      <c r="AQ3" s="7"/>
      <c r="AR3" s="7"/>
      <c r="AS3" s="7"/>
      <c r="AT3" s="24" t="s">
        <v>262</v>
      </c>
      <c r="AU3" s="7"/>
      <c r="AV3" s="7"/>
      <c r="AW3" s="7"/>
      <c r="AX3" s="7"/>
      <c r="AY3" s="7"/>
      <c r="AZ3" s="7"/>
      <c r="BA3" s="7"/>
      <c r="BB3" s="7"/>
      <c r="BG3" s="8"/>
      <c r="BH3" s="33"/>
      <c r="BI3" s="8"/>
      <c r="BJ3" s="76"/>
      <c r="BK3" s="77"/>
      <c r="BL3" s="8"/>
      <c r="BM3" s="8"/>
      <c r="BN3" s="8"/>
      <c r="BO3" s="8"/>
    </row>
    <row r="4" spans="1:67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 t="s">
        <v>181</v>
      </c>
      <c r="T4" s="7"/>
      <c r="U4" s="7"/>
      <c r="V4" s="7"/>
      <c r="W4" s="7"/>
      <c r="X4" s="7"/>
      <c r="Y4" s="7"/>
      <c r="Z4" s="7"/>
      <c r="AA4" s="7"/>
      <c r="AB4" s="7" t="s">
        <v>183</v>
      </c>
      <c r="AC4" s="7"/>
      <c r="AD4" s="7"/>
      <c r="AE4" s="7"/>
      <c r="AF4" s="7"/>
      <c r="AG4" s="7"/>
      <c r="AH4" s="7"/>
      <c r="AI4" s="7"/>
      <c r="AJ4" s="7"/>
      <c r="AK4" s="7" t="s">
        <v>183</v>
      </c>
      <c r="AL4" s="7"/>
      <c r="AM4" s="7"/>
      <c r="AN4" s="7"/>
      <c r="AO4" s="7"/>
      <c r="AP4" s="7"/>
      <c r="AQ4" s="7"/>
      <c r="AR4" s="7"/>
      <c r="AS4" s="7"/>
      <c r="AT4" s="24"/>
      <c r="AU4" s="7" t="s">
        <v>205</v>
      </c>
      <c r="AV4" s="7"/>
      <c r="AW4" s="7"/>
      <c r="AX4" s="7"/>
      <c r="AY4" s="104" t="s">
        <v>227</v>
      </c>
      <c r="AZ4" s="104" t="s">
        <v>285</v>
      </c>
      <c r="BA4" s="7"/>
      <c r="BB4" s="7"/>
      <c r="BG4" s="34"/>
      <c r="BH4" s="34"/>
      <c r="BI4" s="34"/>
      <c r="BJ4" s="8"/>
      <c r="BK4" s="10"/>
      <c r="BL4" s="34"/>
      <c r="BM4" s="34"/>
      <c r="BN4" s="34"/>
      <c r="BO4" s="34"/>
    </row>
    <row r="5" spans="1:67" ht="12.75">
      <c r="A5" s="7"/>
      <c r="B5" s="7"/>
      <c r="C5" s="7" t="s">
        <v>87</v>
      </c>
      <c r="D5" s="7"/>
      <c r="E5" s="7"/>
      <c r="F5" s="7"/>
      <c r="G5" s="7"/>
      <c r="H5" s="7"/>
      <c r="I5" s="7"/>
      <c r="J5" s="7"/>
      <c r="K5" s="7"/>
      <c r="L5" s="7" t="s">
        <v>87</v>
      </c>
      <c r="M5" s="7"/>
      <c r="N5" s="7"/>
      <c r="O5" s="7"/>
      <c r="P5" s="7"/>
      <c r="Q5" s="7"/>
      <c r="R5" s="7"/>
      <c r="S5" s="7" t="s">
        <v>183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10"/>
      <c r="AU5" s="11" t="s">
        <v>207</v>
      </c>
      <c r="AV5" s="11"/>
      <c r="AW5" s="11"/>
      <c r="AX5" s="11"/>
      <c r="AY5" s="11"/>
      <c r="AZ5" s="10" t="s">
        <v>208</v>
      </c>
      <c r="BA5" s="10" t="s">
        <v>209</v>
      </c>
      <c r="BB5" s="8" t="s">
        <v>196</v>
      </c>
      <c r="BG5" s="9"/>
      <c r="BH5" s="9"/>
      <c r="BI5" s="9"/>
      <c r="BJ5" s="9"/>
      <c r="BK5" s="6"/>
      <c r="BL5" s="9"/>
      <c r="BM5" s="9"/>
      <c r="BN5" s="9"/>
      <c r="BO5" s="9"/>
    </row>
    <row r="6" spans="1:67" ht="12.75">
      <c r="A6" s="7"/>
      <c r="B6" s="7"/>
      <c r="C6" s="7"/>
      <c r="D6" s="127" t="s">
        <v>281</v>
      </c>
      <c r="E6" s="127"/>
      <c r="F6" s="7"/>
      <c r="G6" s="7"/>
      <c r="H6" s="7"/>
      <c r="I6" s="7"/>
      <c r="J6" s="7"/>
      <c r="K6" s="7"/>
      <c r="L6" s="7"/>
      <c r="M6" s="127" t="s">
        <v>281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23"/>
      <c r="AU6" s="24"/>
      <c r="AV6" s="24"/>
      <c r="AW6" s="24"/>
      <c r="AX6" s="24"/>
      <c r="AY6" s="24"/>
      <c r="AZ6" s="23" t="s">
        <v>210</v>
      </c>
      <c r="BA6" s="23" t="s">
        <v>71</v>
      </c>
      <c r="BB6" s="34" t="s">
        <v>10</v>
      </c>
      <c r="BG6" s="17"/>
      <c r="BH6" s="17"/>
      <c r="BI6" s="17"/>
      <c r="BJ6" s="17"/>
      <c r="BK6" s="17"/>
      <c r="BL6" s="17"/>
      <c r="BM6" s="17"/>
      <c r="BN6" s="17"/>
      <c r="BO6" s="17"/>
    </row>
    <row r="7" spans="1:67" ht="12.75">
      <c r="A7" s="7" t="s">
        <v>258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23"/>
      <c r="AU7" s="24"/>
      <c r="AV7" s="24"/>
      <c r="AW7" s="24"/>
      <c r="AX7" s="24"/>
      <c r="AY7" s="24"/>
      <c r="AZ7" s="6" t="s">
        <v>72</v>
      </c>
      <c r="BA7" s="6"/>
      <c r="BB7" s="9" t="s">
        <v>11</v>
      </c>
      <c r="BG7" s="3"/>
      <c r="BH7" s="3"/>
      <c r="BI7" s="189"/>
      <c r="BJ7" s="190"/>
      <c r="BK7" s="190"/>
      <c r="BL7" s="191"/>
      <c r="BM7" s="190"/>
      <c r="BN7" s="189"/>
      <c r="BO7" s="20"/>
    </row>
    <row r="8" spans="1:67" ht="12.75">
      <c r="A8" s="7" t="s">
        <v>88</v>
      </c>
      <c r="B8" s="7"/>
      <c r="C8" s="7"/>
      <c r="D8" s="7"/>
      <c r="E8" s="7"/>
      <c r="F8" s="7"/>
      <c r="G8" s="7"/>
      <c r="H8" s="7"/>
      <c r="I8" s="7"/>
      <c r="J8" s="7" t="s">
        <v>258</v>
      </c>
      <c r="K8" s="7"/>
      <c r="L8" s="7"/>
      <c r="M8" s="7"/>
      <c r="N8" s="7"/>
      <c r="O8" s="7"/>
      <c r="P8" s="7"/>
      <c r="Q8" s="7"/>
      <c r="R8" s="7"/>
      <c r="S8" s="7" t="s">
        <v>194</v>
      </c>
      <c r="T8" s="7"/>
      <c r="U8" s="7"/>
      <c r="V8" s="7"/>
      <c r="W8" s="7"/>
      <c r="X8" s="7"/>
      <c r="Y8" s="7"/>
      <c r="Z8" s="7"/>
      <c r="AA8" s="7"/>
      <c r="AB8" s="7" t="s">
        <v>194</v>
      </c>
      <c r="AC8" s="7"/>
      <c r="AD8" s="7"/>
      <c r="AE8" s="7"/>
      <c r="AF8" s="7"/>
      <c r="AG8" s="7"/>
      <c r="AH8" s="7"/>
      <c r="AI8" s="7"/>
      <c r="AJ8" s="7"/>
      <c r="AK8" s="7" t="s">
        <v>194</v>
      </c>
      <c r="AL8" s="7"/>
      <c r="AM8" s="7"/>
      <c r="AN8" s="7"/>
      <c r="AO8" s="7"/>
      <c r="AP8" s="7"/>
      <c r="AQ8" s="7"/>
      <c r="AR8" s="7"/>
      <c r="AS8" s="7"/>
      <c r="AT8" s="10" t="s">
        <v>9</v>
      </c>
      <c r="AU8" s="11"/>
      <c r="AV8" s="11"/>
      <c r="AW8" s="11"/>
      <c r="AX8" s="11"/>
      <c r="AY8" s="12"/>
      <c r="AZ8" s="42">
        <f>I16+I17+I20+I22+I77</f>
        <v>14716635.000000015</v>
      </c>
      <c r="BA8" s="128"/>
      <c r="BB8" s="129">
        <f>BB9+BB14</f>
        <v>18132256.24816</v>
      </c>
      <c r="BG8" s="17"/>
      <c r="BH8" s="3"/>
      <c r="BI8" s="17"/>
      <c r="BJ8" s="183"/>
      <c r="BK8" s="183"/>
      <c r="BL8" s="191"/>
      <c r="BM8" s="190"/>
      <c r="BN8" s="17"/>
      <c r="BO8" s="20"/>
    </row>
    <row r="9" spans="1:67" ht="12.75">
      <c r="A9" s="7" t="s">
        <v>90</v>
      </c>
      <c r="B9" s="7"/>
      <c r="C9" s="7"/>
      <c r="D9" s="7"/>
      <c r="E9" s="7"/>
      <c r="F9" s="7" t="s">
        <v>89</v>
      </c>
      <c r="G9" s="7"/>
      <c r="H9" s="7"/>
      <c r="I9" s="7"/>
      <c r="J9" s="7" t="s">
        <v>88</v>
      </c>
      <c r="K9" s="7"/>
      <c r="L9" s="7"/>
      <c r="M9" s="7"/>
      <c r="N9" s="7"/>
      <c r="O9" s="7" t="s">
        <v>89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105" t="s">
        <v>198</v>
      </c>
      <c r="AU9" s="106"/>
      <c r="AV9" s="106"/>
      <c r="AW9" s="106"/>
      <c r="AX9" s="11"/>
      <c r="AY9" s="12"/>
      <c r="AZ9" s="130">
        <f>AZ11+AZ12</f>
        <v>5706462</v>
      </c>
      <c r="BA9" s="131">
        <f>(BB12+BB11)/AZ9</f>
        <v>3.1767100732012237</v>
      </c>
      <c r="BB9" s="129">
        <f>BB10+BB11+BB12+BB13</f>
        <v>18127775.31774</v>
      </c>
      <c r="BG9" s="17"/>
      <c r="BH9" s="3"/>
      <c r="BI9" s="66"/>
      <c r="BJ9" s="183"/>
      <c r="BK9" s="183"/>
      <c r="BL9" s="191"/>
      <c r="BM9" s="190"/>
      <c r="BN9" s="17"/>
      <c r="BO9" s="20"/>
    </row>
    <row r="10" spans="1:67" ht="12.75">
      <c r="A10" s="8" t="s">
        <v>185</v>
      </c>
      <c r="B10" s="33" t="s">
        <v>91</v>
      </c>
      <c r="C10" s="8" t="s">
        <v>92</v>
      </c>
      <c r="D10" s="76" t="s">
        <v>167</v>
      </c>
      <c r="E10" s="77"/>
      <c r="F10" s="8" t="s">
        <v>93</v>
      </c>
      <c r="G10" s="8" t="s">
        <v>206</v>
      </c>
      <c r="H10" s="8" t="s">
        <v>94</v>
      </c>
      <c r="I10" s="8" t="s">
        <v>84</v>
      </c>
      <c r="J10" s="7" t="s">
        <v>90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27" t="s">
        <v>284</v>
      </c>
      <c r="Z10" s="7"/>
      <c r="AA10" s="7"/>
      <c r="AB10" s="7"/>
      <c r="AC10" s="7"/>
      <c r="AD10" s="7"/>
      <c r="AE10" s="7"/>
      <c r="AF10" s="7"/>
      <c r="AG10" s="7"/>
      <c r="AH10" s="127" t="s">
        <v>284</v>
      </c>
      <c r="AI10" s="7"/>
      <c r="AJ10" s="7"/>
      <c r="AK10" s="7"/>
      <c r="AL10" s="7"/>
      <c r="AM10" s="7"/>
      <c r="AN10" s="7"/>
      <c r="AO10" s="7"/>
      <c r="AP10" s="7"/>
      <c r="AQ10" s="127" t="s">
        <v>284</v>
      </c>
      <c r="AR10" s="7"/>
      <c r="AS10" s="7"/>
      <c r="AT10" s="10" t="s">
        <v>73</v>
      </c>
      <c r="AU10" s="11"/>
      <c r="AV10" s="11"/>
      <c r="AW10" s="11"/>
      <c r="AX10" s="11"/>
      <c r="AY10" s="12"/>
      <c r="AZ10" s="132"/>
      <c r="BA10" s="133">
        <v>0</v>
      </c>
      <c r="BB10" s="134">
        <f>AZ10*BA10</f>
        <v>0</v>
      </c>
      <c r="BG10" s="17"/>
      <c r="BH10" s="3"/>
      <c r="BI10" s="66"/>
      <c r="BJ10" s="183"/>
      <c r="BK10" s="183"/>
      <c r="BL10" s="191"/>
      <c r="BM10" s="190"/>
      <c r="BN10" s="17"/>
      <c r="BO10" s="20"/>
    </row>
    <row r="11" spans="1:67" ht="12.75">
      <c r="A11" s="34"/>
      <c r="B11" s="34"/>
      <c r="C11" s="34"/>
      <c r="D11" s="8" t="s">
        <v>95</v>
      </c>
      <c r="E11" s="10" t="s">
        <v>96</v>
      </c>
      <c r="F11" s="34" t="s">
        <v>97</v>
      </c>
      <c r="G11" s="34" t="s">
        <v>83</v>
      </c>
      <c r="H11" s="34"/>
      <c r="I11" s="34" t="s">
        <v>98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10" t="s">
        <v>74</v>
      </c>
      <c r="AU11" s="11"/>
      <c r="AV11" s="11"/>
      <c r="AW11" s="11"/>
      <c r="AX11" s="11"/>
      <c r="AY11" s="12"/>
      <c r="AZ11" s="20">
        <f>I81+I73</f>
        <v>6792</v>
      </c>
      <c r="BA11" s="135">
        <v>4.90547</v>
      </c>
      <c r="BB11" s="134">
        <f>AZ11*BA11</f>
        <v>33317.95224</v>
      </c>
      <c r="BG11" s="17"/>
      <c r="BH11" s="3"/>
      <c r="BI11" s="17"/>
      <c r="BJ11" s="183"/>
      <c r="BK11" s="183"/>
      <c r="BL11" s="191"/>
      <c r="BM11" s="190"/>
      <c r="BN11" s="17"/>
      <c r="BO11" s="20"/>
    </row>
    <row r="12" spans="1:67" ht="12.75">
      <c r="A12" s="9"/>
      <c r="B12" s="9"/>
      <c r="C12" s="9"/>
      <c r="D12" s="9" t="s">
        <v>99</v>
      </c>
      <c r="E12" s="6" t="s">
        <v>99</v>
      </c>
      <c r="F12" s="9" t="s">
        <v>100</v>
      </c>
      <c r="G12" s="9"/>
      <c r="H12" s="9"/>
      <c r="I12" s="9"/>
      <c r="J12" s="8" t="s">
        <v>185</v>
      </c>
      <c r="K12" s="33" t="s">
        <v>91</v>
      </c>
      <c r="L12" s="8" t="s">
        <v>92</v>
      </c>
      <c r="M12" s="76" t="s">
        <v>222</v>
      </c>
      <c r="N12" s="77"/>
      <c r="O12" s="8" t="s">
        <v>93</v>
      </c>
      <c r="P12" s="8" t="s">
        <v>206</v>
      </c>
      <c r="Q12" s="8" t="s">
        <v>94</v>
      </c>
      <c r="R12" s="8" t="s">
        <v>84</v>
      </c>
      <c r="S12" s="8" t="s">
        <v>185</v>
      </c>
      <c r="T12" s="10" t="s">
        <v>186</v>
      </c>
      <c r="U12" s="11"/>
      <c r="V12" s="12"/>
      <c r="W12" s="5" t="s">
        <v>187</v>
      </c>
      <c r="X12" s="15"/>
      <c r="Y12" s="15"/>
      <c r="Z12" s="15"/>
      <c r="AA12" s="16"/>
      <c r="AB12" s="8" t="s">
        <v>185</v>
      </c>
      <c r="AC12" s="10" t="s">
        <v>186</v>
      </c>
      <c r="AD12" s="11"/>
      <c r="AE12" s="12"/>
      <c r="AF12" s="5" t="s">
        <v>187</v>
      </c>
      <c r="AG12" s="15"/>
      <c r="AH12" s="15"/>
      <c r="AI12" s="15"/>
      <c r="AJ12" s="16"/>
      <c r="AK12" s="8" t="s">
        <v>185</v>
      </c>
      <c r="AL12" s="10" t="s">
        <v>186</v>
      </c>
      <c r="AM12" s="11"/>
      <c r="AN12" s="12"/>
      <c r="AO12" s="5" t="s">
        <v>187</v>
      </c>
      <c r="AP12" s="15"/>
      <c r="AQ12" s="15"/>
      <c r="AR12" s="15"/>
      <c r="AS12" s="16"/>
      <c r="AT12" s="10" t="s">
        <v>75</v>
      </c>
      <c r="AU12" s="11"/>
      <c r="AV12" s="11"/>
      <c r="AW12" s="11"/>
      <c r="AX12" s="11"/>
      <c r="AY12" s="12"/>
      <c r="AZ12" s="130">
        <f>I75</f>
        <v>5699670</v>
      </c>
      <c r="BA12" s="136">
        <v>3.17465</v>
      </c>
      <c r="BB12" s="134">
        <f>AZ12*BA12</f>
        <v>18094457.3655</v>
      </c>
      <c r="BG12" s="17"/>
      <c r="BH12" s="3"/>
      <c r="BI12" s="17"/>
      <c r="BJ12" s="183"/>
      <c r="BK12" s="183"/>
      <c r="BL12" s="191"/>
      <c r="BM12" s="190"/>
      <c r="BN12" s="17"/>
      <c r="BO12" s="20"/>
    </row>
    <row r="13" spans="1:67" ht="14.25" customHeight="1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34"/>
      <c r="K13" s="34"/>
      <c r="L13" s="34"/>
      <c r="M13" s="8" t="s">
        <v>95</v>
      </c>
      <c r="N13" s="10" t="s">
        <v>96</v>
      </c>
      <c r="O13" s="34" t="s">
        <v>97</v>
      </c>
      <c r="P13" s="34" t="s">
        <v>83</v>
      </c>
      <c r="Q13" s="34"/>
      <c r="R13" s="34" t="s">
        <v>98</v>
      </c>
      <c r="S13" s="9"/>
      <c r="T13" s="6"/>
      <c r="U13" s="13"/>
      <c r="V13" s="14"/>
      <c r="W13" s="17" t="s">
        <v>188</v>
      </c>
      <c r="X13" s="17" t="s">
        <v>189</v>
      </c>
      <c r="Y13" s="17" t="s">
        <v>190</v>
      </c>
      <c r="Z13" s="17" t="s">
        <v>191</v>
      </c>
      <c r="AA13" s="17" t="s">
        <v>192</v>
      </c>
      <c r="AB13" s="9"/>
      <c r="AC13" s="6"/>
      <c r="AD13" s="13"/>
      <c r="AE13" s="14"/>
      <c r="AF13" s="17" t="s">
        <v>188</v>
      </c>
      <c r="AG13" s="17" t="s">
        <v>189</v>
      </c>
      <c r="AH13" s="17" t="s">
        <v>190</v>
      </c>
      <c r="AI13" s="17" t="s">
        <v>191</v>
      </c>
      <c r="AJ13" s="17" t="s">
        <v>192</v>
      </c>
      <c r="AK13" s="9"/>
      <c r="AL13" s="6"/>
      <c r="AM13" s="13"/>
      <c r="AN13" s="14"/>
      <c r="AO13" s="17" t="s">
        <v>188</v>
      </c>
      <c r="AP13" s="17" t="s">
        <v>189</v>
      </c>
      <c r="AQ13" s="17" t="s">
        <v>190</v>
      </c>
      <c r="AR13" s="17" t="s">
        <v>191</v>
      </c>
      <c r="AS13" s="17" t="s">
        <v>192</v>
      </c>
      <c r="AT13" s="5" t="s">
        <v>68</v>
      </c>
      <c r="AU13" s="15"/>
      <c r="AV13" s="15"/>
      <c r="AW13" s="15"/>
      <c r="AX13" s="15"/>
      <c r="AY13" s="16"/>
      <c r="AZ13" s="130"/>
      <c r="BA13" s="107"/>
      <c r="BB13" s="134">
        <f>BA13*AZ13</f>
        <v>0</v>
      </c>
      <c r="BG13" s="17"/>
      <c r="BH13" s="3"/>
      <c r="BI13" s="66"/>
      <c r="BJ13" s="183"/>
      <c r="BK13" s="183"/>
      <c r="BL13" s="191"/>
      <c r="BM13" s="190"/>
      <c r="BN13" s="17"/>
      <c r="BO13" s="20"/>
    </row>
    <row r="14" spans="1:67" ht="14.25" customHeight="1">
      <c r="A14" s="6"/>
      <c r="B14" s="13"/>
      <c r="C14" s="169" t="s">
        <v>101</v>
      </c>
      <c r="D14" s="169"/>
      <c r="E14" s="13"/>
      <c r="F14" s="13"/>
      <c r="G14" s="13"/>
      <c r="H14" s="13"/>
      <c r="I14" s="14"/>
      <c r="J14" s="9"/>
      <c r="K14" s="9"/>
      <c r="L14" s="9"/>
      <c r="M14" s="9" t="s">
        <v>99</v>
      </c>
      <c r="N14" s="6" t="s">
        <v>99</v>
      </c>
      <c r="O14" s="9" t="s">
        <v>100</v>
      </c>
      <c r="P14" s="9"/>
      <c r="Q14" s="9"/>
      <c r="R14" s="9"/>
      <c r="S14" s="17">
        <v>1</v>
      </c>
      <c r="T14" s="4" t="s">
        <v>59</v>
      </c>
      <c r="U14" s="4"/>
      <c r="V14" s="4"/>
      <c r="W14" s="20">
        <f aca="true" t="shared" si="0" ref="W14:W25">SUM(X14:AA14)</f>
        <v>8739965</v>
      </c>
      <c r="X14" s="20">
        <f>SUM(X15:X26)</f>
        <v>7399716</v>
      </c>
      <c r="Y14" s="20">
        <f>SUM(Y15:Y27)</f>
        <v>0</v>
      </c>
      <c r="Z14" s="20">
        <f>SUM(Z15:Z26)</f>
        <v>1340249</v>
      </c>
      <c r="AA14" s="17">
        <f>SUM(AA15:AA27)</f>
        <v>0</v>
      </c>
      <c r="AB14" s="17"/>
      <c r="AC14" s="4" t="s">
        <v>39</v>
      </c>
      <c r="AD14" s="4"/>
      <c r="AE14" s="4"/>
      <c r="AF14" s="27">
        <f>SUM(AG14:AJ14)</f>
        <v>207985</v>
      </c>
      <c r="AG14" s="20">
        <f>SUM(AG16:AG22)</f>
        <v>197779</v>
      </c>
      <c r="AH14" s="20">
        <f>SUM(AH16:AH22)</f>
        <v>0</v>
      </c>
      <c r="AI14" s="20">
        <f>SUM(AI16:AI22)</f>
        <v>10206</v>
      </c>
      <c r="AJ14" s="17">
        <f>SUM(AJ16:AJ22)</f>
        <v>0</v>
      </c>
      <c r="AK14" s="33">
        <v>1</v>
      </c>
      <c r="AL14" s="8" t="s">
        <v>39</v>
      </c>
      <c r="AM14" s="8"/>
      <c r="AN14" s="8"/>
      <c r="AO14" s="35">
        <f>SUM(AP14:AS14)</f>
        <v>62239</v>
      </c>
      <c r="AP14" s="35">
        <f>SUM(AP16:AP17)</f>
        <v>0</v>
      </c>
      <c r="AQ14" s="35">
        <f>SUM(AQ16:AQ17)</f>
        <v>0</v>
      </c>
      <c r="AR14" s="35">
        <f>ROUND(SUM(AR16:AR20),0)</f>
        <v>62239</v>
      </c>
      <c r="AS14" s="33">
        <f>SUM(AS16:AS17)</f>
        <v>0</v>
      </c>
      <c r="AT14" s="9" t="s">
        <v>212</v>
      </c>
      <c r="AU14" s="9"/>
      <c r="AV14" s="9"/>
      <c r="AW14" s="9"/>
      <c r="AX14" s="9"/>
      <c r="AY14" s="9"/>
      <c r="AZ14" s="130">
        <f>SUM(AZ15:AZ21)</f>
        <v>921</v>
      </c>
      <c r="BA14" s="137"/>
      <c r="BB14" s="134">
        <f>SUM(BB15:BB21)</f>
        <v>4480.930420000001</v>
      </c>
      <c r="BG14" s="17"/>
      <c r="BH14" s="3"/>
      <c r="BI14" s="17"/>
      <c r="BJ14" s="183"/>
      <c r="BK14" s="183"/>
      <c r="BL14" s="191"/>
      <c r="BM14" s="190"/>
      <c r="BN14" s="17"/>
      <c r="BO14" s="20"/>
    </row>
    <row r="15" spans="1:67" ht="12.75">
      <c r="A15" s="6"/>
      <c r="B15" s="5" t="s">
        <v>251</v>
      </c>
      <c r="C15" s="169"/>
      <c r="D15" s="169"/>
      <c r="E15" s="13"/>
      <c r="F15" s="13"/>
      <c r="G15" s="13"/>
      <c r="H15" s="13"/>
      <c r="I15" s="14"/>
      <c r="J15" s="17">
        <v>1</v>
      </c>
      <c r="K15" s="17">
        <v>2</v>
      </c>
      <c r="L15" s="17">
        <v>3</v>
      </c>
      <c r="M15" s="17">
        <v>4</v>
      </c>
      <c r="N15" s="17">
        <v>5</v>
      </c>
      <c r="O15" s="17">
        <v>6</v>
      </c>
      <c r="P15" s="17">
        <v>7</v>
      </c>
      <c r="Q15" s="17">
        <v>8</v>
      </c>
      <c r="R15" s="17">
        <v>9</v>
      </c>
      <c r="S15" s="32" t="s">
        <v>45</v>
      </c>
      <c r="T15" s="10" t="s">
        <v>24</v>
      </c>
      <c r="U15" s="11"/>
      <c r="V15" s="11"/>
      <c r="W15" s="27">
        <f t="shared" si="0"/>
        <v>4676921</v>
      </c>
      <c r="X15" s="48">
        <f>ROUND(I20,0)</f>
        <v>4676921</v>
      </c>
      <c r="Y15" s="33">
        <v>0</v>
      </c>
      <c r="Z15" s="33">
        <v>0</v>
      </c>
      <c r="AA15" s="33">
        <v>0</v>
      </c>
      <c r="AB15" s="33">
        <v>1</v>
      </c>
      <c r="AC15" s="10" t="s">
        <v>271</v>
      </c>
      <c r="AD15" s="11"/>
      <c r="AE15" s="12"/>
      <c r="AF15" s="26"/>
      <c r="AG15" s="29"/>
      <c r="AH15" s="29"/>
      <c r="AI15" s="29"/>
      <c r="AJ15" s="152"/>
      <c r="AK15" s="168"/>
      <c r="AL15" s="10" t="s">
        <v>273</v>
      </c>
      <c r="AM15" s="11"/>
      <c r="AN15" s="12"/>
      <c r="AO15" s="35"/>
      <c r="AP15" s="33"/>
      <c r="AQ15" s="33"/>
      <c r="AR15" s="35"/>
      <c r="AS15" s="33"/>
      <c r="AT15" s="12" t="s">
        <v>69</v>
      </c>
      <c r="AU15" s="8"/>
      <c r="AV15" s="8"/>
      <c r="AW15" s="8"/>
      <c r="AX15" s="8"/>
      <c r="AY15" s="8"/>
      <c r="AZ15" s="20">
        <f>AS57-AZ16</f>
        <v>0</v>
      </c>
      <c r="BA15" s="138"/>
      <c r="BB15" s="134">
        <f>AZ15*BA15</f>
        <v>0</v>
      </c>
      <c r="BG15" s="17"/>
      <c r="BH15" s="3"/>
      <c r="BI15" s="17"/>
      <c r="BJ15" s="183"/>
      <c r="BK15" s="17"/>
      <c r="BL15" s="191"/>
      <c r="BM15" s="190"/>
      <c r="BN15" s="17"/>
      <c r="BO15" s="20"/>
    </row>
    <row r="16" spans="1:67" ht="12.75">
      <c r="A16" s="33">
        <v>1</v>
      </c>
      <c r="B16" s="8" t="s">
        <v>141</v>
      </c>
      <c r="C16" s="50">
        <v>804152757</v>
      </c>
      <c r="D16" s="81">
        <v>4966.4131</v>
      </c>
      <c r="E16" s="81">
        <v>5069.0767</v>
      </c>
      <c r="F16" s="20">
        <v>36000</v>
      </c>
      <c r="G16" s="102">
        <f>E16-D16</f>
        <v>102.66359999999986</v>
      </c>
      <c r="H16" s="4"/>
      <c r="I16" s="20">
        <f>ROUND((F16*G16+H16),0)</f>
        <v>3695890</v>
      </c>
      <c r="J16" s="6"/>
      <c r="K16" s="13"/>
      <c r="L16" s="13" t="s">
        <v>101</v>
      </c>
      <c r="M16" s="13"/>
      <c r="N16" s="13"/>
      <c r="O16" s="13"/>
      <c r="P16" s="13"/>
      <c r="Q16" s="13"/>
      <c r="R16" s="14"/>
      <c r="S16" s="21" t="s">
        <v>46</v>
      </c>
      <c r="T16" s="23" t="s">
        <v>25</v>
      </c>
      <c r="U16" s="24"/>
      <c r="V16" s="24"/>
      <c r="W16" s="27">
        <f t="shared" si="0"/>
        <v>0</v>
      </c>
      <c r="X16" s="41">
        <f>ROUND(I27,0)</f>
        <v>0</v>
      </c>
      <c r="Y16" s="30">
        <v>0</v>
      </c>
      <c r="Z16" s="27">
        <v>0</v>
      </c>
      <c r="AA16" s="30">
        <v>0</v>
      </c>
      <c r="AB16" s="21" t="s">
        <v>45</v>
      </c>
      <c r="AC16" s="23" t="s">
        <v>193</v>
      </c>
      <c r="AD16" s="24"/>
      <c r="AE16" s="25"/>
      <c r="AF16" s="27">
        <f>AG16+AH16+AI16+AJ16</f>
        <v>197779</v>
      </c>
      <c r="AG16" s="27">
        <v>197779</v>
      </c>
      <c r="AH16" s="30">
        <v>0</v>
      </c>
      <c r="AI16" s="27">
        <v>0</v>
      </c>
      <c r="AJ16" s="47">
        <v>0</v>
      </c>
      <c r="AK16" s="21" t="s">
        <v>45</v>
      </c>
      <c r="AL16" s="23" t="s">
        <v>12</v>
      </c>
      <c r="AM16" s="24"/>
      <c r="AN16" s="25"/>
      <c r="AO16" s="27">
        <f>AP16+AQ16+AR16+AS16</f>
        <v>242</v>
      </c>
      <c r="AP16" s="30">
        <v>0</v>
      </c>
      <c r="AQ16" s="30">
        <v>0</v>
      </c>
      <c r="AR16" s="27">
        <v>242</v>
      </c>
      <c r="AS16" s="30">
        <v>0</v>
      </c>
      <c r="AT16" s="12" t="s">
        <v>69</v>
      </c>
      <c r="AU16" s="8"/>
      <c r="AV16" s="8"/>
      <c r="AW16" s="8"/>
      <c r="AX16" s="8"/>
      <c r="AY16" s="8"/>
      <c r="AZ16" s="20">
        <f>AS57/100*80</f>
        <v>0</v>
      </c>
      <c r="BA16" s="139"/>
      <c r="BB16" s="134">
        <f>AZ16*BA16</f>
        <v>0</v>
      </c>
      <c r="BG16" s="4"/>
      <c r="BH16" s="4"/>
      <c r="BI16" s="66"/>
      <c r="BJ16" s="81"/>
      <c r="BK16" s="81"/>
      <c r="BL16" s="20"/>
      <c r="BM16" s="102"/>
      <c r="BN16" s="17"/>
      <c r="BO16" s="20"/>
    </row>
    <row r="17" spans="1:67" ht="12.75">
      <c r="A17" s="9"/>
      <c r="B17" s="6" t="s">
        <v>142</v>
      </c>
      <c r="C17" s="66">
        <v>109054169</v>
      </c>
      <c r="D17" s="81">
        <v>7595.7368</v>
      </c>
      <c r="E17" s="81">
        <v>7769.3908</v>
      </c>
      <c r="F17" s="20">
        <v>36000</v>
      </c>
      <c r="G17" s="102">
        <f>E17-D17</f>
        <v>173.65400000000045</v>
      </c>
      <c r="H17" s="4"/>
      <c r="I17" s="20">
        <f>F17*G17+H17</f>
        <v>6251544.000000016</v>
      </c>
      <c r="J17" s="4"/>
      <c r="K17" s="5" t="s">
        <v>102</v>
      </c>
      <c r="L17" s="15"/>
      <c r="M17" s="15"/>
      <c r="N17" s="15"/>
      <c r="O17" s="15"/>
      <c r="P17" s="15"/>
      <c r="Q17" s="15"/>
      <c r="R17" s="16"/>
      <c r="S17" s="21" t="s">
        <v>47</v>
      </c>
      <c r="T17" s="23" t="s">
        <v>26</v>
      </c>
      <c r="U17" s="24"/>
      <c r="V17" s="24"/>
      <c r="W17" s="27">
        <f t="shared" si="0"/>
        <v>558168</v>
      </c>
      <c r="X17" s="41">
        <f>ROUND(I29,0)</f>
        <v>558168</v>
      </c>
      <c r="Y17" s="30">
        <v>0</v>
      </c>
      <c r="Z17" s="27">
        <v>0</v>
      </c>
      <c r="AA17" s="30">
        <v>0</v>
      </c>
      <c r="AB17" s="21" t="s">
        <v>46</v>
      </c>
      <c r="AC17" s="23" t="s">
        <v>67</v>
      </c>
      <c r="AD17" s="24"/>
      <c r="AE17" s="25"/>
      <c r="AF17" s="27">
        <f>AG17+AH17+AI17+AJ17</f>
        <v>1780</v>
      </c>
      <c r="AG17" s="30">
        <v>0</v>
      </c>
      <c r="AH17" s="30">
        <v>0</v>
      </c>
      <c r="AI17" s="27">
        <v>1780</v>
      </c>
      <c r="AJ17" s="47">
        <v>0</v>
      </c>
      <c r="AK17" s="21" t="s">
        <v>46</v>
      </c>
      <c r="AL17" s="23" t="s">
        <v>161</v>
      </c>
      <c r="AM17" s="24"/>
      <c r="AN17" s="25"/>
      <c r="AO17" s="27">
        <f>AP17+AQ17+AR17+AS17</f>
        <v>304</v>
      </c>
      <c r="AP17" s="30">
        <v>0</v>
      </c>
      <c r="AQ17" s="30">
        <v>0</v>
      </c>
      <c r="AR17" s="27">
        <v>304</v>
      </c>
      <c r="AS17" s="30">
        <v>0</v>
      </c>
      <c r="AT17" s="11" t="s">
        <v>41</v>
      </c>
      <c r="AU17" s="11"/>
      <c r="AV17" s="11"/>
      <c r="AW17" s="11"/>
      <c r="AX17" s="11"/>
      <c r="AY17" s="12"/>
      <c r="AZ17" s="130">
        <f>R21</f>
        <v>360</v>
      </c>
      <c r="BA17" s="140">
        <v>3.41</v>
      </c>
      <c r="BB17" s="134">
        <f>AZ17*BA17</f>
        <v>1227.6000000000001</v>
      </c>
      <c r="BG17" s="4"/>
      <c r="BH17" s="4"/>
      <c r="BI17" s="17"/>
      <c r="BJ17" s="17"/>
      <c r="BK17" s="17"/>
      <c r="BL17" s="17"/>
      <c r="BM17" s="17"/>
      <c r="BN17" s="17"/>
      <c r="BO17" s="17"/>
    </row>
    <row r="18" spans="1:67" ht="15" customHeight="1">
      <c r="A18" s="5"/>
      <c r="B18" s="15"/>
      <c r="C18" s="13"/>
      <c r="D18" s="15"/>
      <c r="E18" s="15"/>
      <c r="F18" s="67" t="s">
        <v>104</v>
      </c>
      <c r="G18" s="15"/>
      <c r="H18" s="16"/>
      <c r="I18" s="20">
        <f>ROUND((I16+I17+I22),0)</f>
        <v>10032922</v>
      </c>
      <c r="J18" s="17">
        <v>1</v>
      </c>
      <c r="K18" s="5" t="s">
        <v>103</v>
      </c>
      <c r="L18" s="15"/>
      <c r="M18" s="15"/>
      <c r="N18" s="15"/>
      <c r="O18" s="15"/>
      <c r="P18" s="15"/>
      <c r="Q18" s="15"/>
      <c r="R18" s="16"/>
      <c r="S18" s="21" t="s">
        <v>48</v>
      </c>
      <c r="T18" s="23" t="s">
        <v>27</v>
      </c>
      <c r="U18" s="24"/>
      <c r="V18" s="24"/>
      <c r="W18" s="27">
        <f t="shared" si="0"/>
        <v>283060</v>
      </c>
      <c r="X18" s="41">
        <f>ROUND(I31,0)</f>
        <v>283060</v>
      </c>
      <c r="Y18" s="30">
        <v>0</v>
      </c>
      <c r="Z18" s="27">
        <v>0</v>
      </c>
      <c r="AA18" s="30">
        <v>0</v>
      </c>
      <c r="AB18" s="22" t="s">
        <v>47</v>
      </c>
      <c r="AC18" s="13" t="s">
        <v>56</v>
      </c>
      <c r="AD18" s="13"/>
      <c r="AE18" s="13"/>
      <c r="AF18" s="28">
        <f>AG18+AH18+AI18+AJ18</f>
        <v>8426</v>
      </c>
      <c r="AG18" s="31">
        <v>0</v>
      </c>
      <c r="AH18" s="31">
        <v>0</v>
      </c>
      <c r="AI18" s="28">
        <v>8426</v>
      </c>
      <c r="AJ18" s="167">
        <v>0</v>
      </c>
      <c r="AK18" s="21" t="s">
        <v>47</v>
      </c>
      <c r="AL18" s="23" t="s">
        <v>38</v>
      </c>
      <c r="AM18" s="24"/>
      <c r="AN18" s="25"/>
      <c r="AO18" s="27">
        <f>AP18+AQ18+AR18+AS18</f>
        <v>47561</v>
      </c>
      <c r="AP18" s="30">
        <v>0</v>
      </c>
      <c r="AQ18" s="30">
        <v>0</v>
      </c>
      <c r="AR18" s="27">
        <v>47561</v>
      </c>
      <c r="AS18" s="30">
        <v>0</v>
      </c>
      <c r="AT18" s="11" t="s">
        <v>42</v>
      </c>
      <c r="AU18" s="11"/>
      <c r="AV18" s="11"/>
      <c r="AW18" s="11"/>
      <c r="AX18" s="11"/>
      <c r="AY18" s="12"/>
      <c r="AZ18" s="130">
        <f>R22</f>
        <v>40</v>
      </c>
      <c r="BA18" s="140">
        <v>1.62</v>
      </c>
      <c r="BB18" s="134">
        <f>AZ18*BA18</f>
        <v>64.80000000000001</v>
      </c>
      <c r="BG18" s="4"/>
      <c r="BH18" s="4"/>
      <c r="BI18" s="66"/>
      <c r="BJ18" s="17"/>
      <c r="BK18" s="17"/>
      <c r="BL18" s="20"/>
      <c r="BM18" s="17"/>
      <c r="BN18" s="17"/>
      <c r="BO18" s="17"/>
    </row>
    <row r="19" spans="1:67" ht="15" customHeight="1">
      <c r="A19" s="4" t="s">
        <v>105</v>
      </c>
      <c r="B19" s="5" t="s">
        <v>223</v>
      </c>
      <c r="C19" s="15"/>
      <c r="D19" s="15"/>
      <c r="E19" s="15"/>
      <c r="F19" s="15"/>
      <c r="G19" s="15"/>
      <c r="H19" s="15"/>
      <c r="I19" s="16"/>
      <c r="J19" s="33" t="s">
        <v>105</v>
      </c>
      <c r="K19" s="8" t="s">
        <v>171</v>
      </c>
      <c r="L19" s="33">
        <v>16654</v>
      </c>
      <c r="M19" s="84">
        <v>5615</v>
      </c>
      <c r="N19" s="84">
        <v>6136</v>
      </c>
      <c r="O19" s="33">
        <v>1</v>
      </c>
      <c r="P19" s="108">
        <f>N19-M19</f>
        <v>521</v>
      </c>
      <c r="Q19" s="109"/>
      <c r="R19" s="35">
        <f>O19*P19+Q19</f>
        <v>521</v>
      </c>
      <c r="S19" s="21" t="s">
        <v>53</v>
      </c>
      <c r="T19" s="23" t="s">
        <v>28</v>
      </c>
      <c r="U19" s="24"/>
      <c r="V19" s="24"/>
      <c r="W19" s="27">
        <f t="shared" si="0"/>
        <v>0</v>
      </c>
      <c r="X19" s="41">
        <f>ROUND(I33,0)</f>
        <v>0</v>
      </c>
      <c r="Y19" s="30">
        <v>0</v>
      </c>
      <c r="Z19" s="30">
        <v>0</v>
      </c>
      <c r="AA19" s="30">
        <v>0</v>
      </c>
      <c r="AB19" s="36"/>
      <c r="AC19" s="24"/>
      <c r="AD19" s="24"/>
      <c r="AE19" s="24"/>
      <c r="AF19" s="37"/>
      <c r="AG19" s="38"/>
      <c r="AH19" s="38"/>
      <c r="AI19" s="37"/>
      <c r="AJ19" s="38"/>
      <c r="AK19" s="21" t="s">
        <v>48</v>
      </c>
      <c r="AL19" s="23" t="s">
        <v>58</v>
      </c>
      <c r="AM19" s="24"/>
      <c r="AN19" s="25"/>
      <c r="AO19" s="27">
        <f>AP19+AQ19+AR19+AS19</f>
        <v>999</v>
      </c>
      <c r="AP19" s="27">
        <v>0</v>
      </c>
      <c r="AQ19" s="30">
        <v>0</v>
      </c>
      <c r="AR19" s="27">
        <v>999</v>
      </c>
      <c r="AS19" s="30">
        <v>0</v>
      </c>
      <c r="AT19" s="11" t="s">
        <v>76</v>
      </c>
      <c r="AU19" s="11"/>
      <c r="AV19" s="11"/>
      <c r="AW19" s="11"/>
      <c r="AX19" s="11"/>
      <c r="AY19" s="12"/>
      <c r="AZ19" s="141">
        <f>R19+R20</f>
        <v>521</v>
      </c>
      <c r="BA19" s="135">
        <v>6.12002</v>
      </c>
      <c r="BB19" s="134">
        <f>AZ19*BA19</f>
        <v>3188.53042</v>
      </c>
      <c r="BG19" s="4"/>
      <c r="BH19" s="4"/>
      <c r="BI19" s="66"/>
      <c r="BJ19" s="81"/>
      <c r="BK19" s="81"/>
      <c r="BL19" s="20"/>
      <c r="BM19" s="102"/>
      <c r="BN19" s="20"/>
      <c r="BO19" s="20"/>
    </row>
    <row r="20" spans="1:67" ht="12.75">
      <c r="A20" s="4" t="s">
        <v>107</v>
      </c>
      <c r="B20" s="4" t="s">
        <v>108</v>
      </c>
      <c r="C20" s="66">
        <v>109053225</v>
      </c>
      <c r="D20" s="81">
        <v>19347.8979</v>
      </c>
      <c r="E20" s="81">
        <v>19570.6084</v>
      </c>
      <c r="F20" s="20">
        <v>21000</v>
      </c>
      <c r="G20" s="102">
        <f>E20-D20</f>
        <v>222.71050000000105</v>
      </c>
      <c r="H20" s="4"/>
      <c r="I20" s="20">
        <f>ROUND((F20*G20+H20),0)</f>
        <v>4676921</v>
      </c>
      <c r="J20" s="9"/>
      <c r="K20" s="9" t="s">
        <v>172</v>
      </c>
      <c r="L20" s="9"/>
      <c r="M20" s="9"/>
      <c r="N20" s="9"/>
      <c r="O20" s="9"/>
      <c r="P20" s="40"/>
      <c r="Q20" s="110"/>
      <c r="R20" s="126"/>
      <c r="S20" s="21" t="s">
        <v>57</v>
      </c>
      <c r="T20" s="23" t="s">
        <v>29</v>
      </c>
      <c r="U20" s="24"/>
      <c r="V20" s="24"/>
      <c r="W20" s="27">
        <f t="shared" si="0"/>
        <v>807353</v>
      </c>
      <c r="X20" s="41">
        <f>ROUND(I35,0)</f>
        <v>807353</v>
      </c>
      <c r="Y20" s="30">
        <v>0</v>
      </c>
      <c r="Z20" s="27">
        <v>0</v>
      </c>
      <c r="AA20" s="30">
        <v>0</v>
      </c>
      <c r="AB20" s="36"/>
      <c r="AC20" s="24"/>
      <c r="AD20" s="24"/>
      <c r="AE20" s="24"/>
      <c r="AF20" s="37"/>
      <c r="AG20" s="37"/>
      <c r="AH20" s="38"/>
      <c r="AI20" s="37"/>
      <c r="AJ20" s="38"/>
      <c r="AK20" s="22" t="s">
        <v>53</v>
      </c>
      <c r="AL20" s="6" t="s">
        <v>272</v>
      </c>
      <c r="AM20" s="13"/>
      <c r="AN20" s="14"/>
      <c r="AO20" s="28">
        <f>AP20+AQ20+AR20+AS20</f>
        <v>13133</v>
      </c>
      <c r="AP20" s="28"/>
      <c r="AQ20" s="31"/>
      <c r="AR20" s="28">
        <v>13133</v>
      </c>
      <c r="AS20" s="31"/>
      <c r="AT20" s="11" t="s">
        <v>211</v>
      </c>
      <c r="AU20" s="11"/>
      <c r="AV20" s="11"/>
      <c r="AW20" s="11"/>
      <c r="AX20" s="11"/>
      <c r="AY20" s="12"/>
      <c r="AZ20" s="130"/>
      <c r="BA20" s="140"/>
      <c r="BB20" s="129"/>
      <c r="BG20" s="8"/>
      <c r="BH20" s="8"/>
      <c r="BI20" s="50"/>
      <c r="BJ20" s="174"/>
      <c r="BK20" s="174"/>
      <c r="BL20" s="35"/>
      <c r="BM20" s="175"/>
      <c r="BN20" s="33"/>
      <c r="BO20" s="35"/>
    </row>
    <row r="21" spans="1:67" ht="12.75">
      <c r="A21" s="4" t="s">
        <v>252</v>
      </c>
      <c r="B21" s="15" t="s">
        <v>255</v>
      </c>
      <c r="C21" s="13"/>
      <c r="D21" s="15"/>
      <c r="E21" s="15"/>
      <c r="F21" s="67"/>
      <c r="G21" s="15"/>
      <c r="H21" s="16"/>
      <c r="I21" s="20"/>
      <c r="J21" s="8" t="s">
        <v>111</v>
      </c>
      <c r="K21" s="8" t="s">
        <v>174</v>
      </c>
      <c r="L21" s="185">
        <v>122848480</v>
      </c>
      <c r="M21" s="184">
        <v>521</v>
      </c>
      <c r="N21" s="184">
        <v>539</v>
      </c>
      <c r="O21" s="17">
        <v>20</v>
      </c>
      <c r="P21" s="183">
        <f>N21-M21</f>
        <v>18</v>
      </c>
      <c r="Q21" s="111"/>
      <c r="R21" s="20">
        <f>O21*P21+Q21</f>
        <v>360</v>
      </c>
      <c r="S21" s="21" t="s">
        <v>60</v>
      </c>
      <c r="T21" s="23" t="s">
        <v>30</v>
      </c>
      <c r="U21" s="24"/>
      <c r="V21" s="24"/>
      <c r="W21" s="27">
        <f t="shared" si="0"/>
        <v>228891</v>
      </c>
      <c r="X21" s="41">
        <f>ROUND(I37,0)</f>
        <v>228891</v>
      </c>
      <c r="Y21" s="30">
        <v>0</v>
      </c>
      <c r="Z21" s="27">
        <v>0</v>
      </c>
      <c r="AA21" s="30">
        <v>0</v>
      </c>
      <c r="AB21" s="36"/>
      <c r="AC21" s="24"/>
      <c r="AD21" s="24"/>
      <c r="AE21" s="24"/>
      <c r="AF21" s="37"/>
      <c r="AG21" s="37"/>
      <c r="AH21" s="38"/>
      <c r="AI21" s="37"/>
      <c r="AJ21" s="38"/>
      <c r="AK21" s="36"/>
      <c r="AL21" s="24"/>
      <c r="AM21" s="24"/>
      <c r="AN21" s="24"/>
      <c r="AO21" s="37"/>
      <c r="AP21" s="38"/>
      <c r="AQ21" s="39"/>
      <c r="AR21" s="37"/>
      <c r="AS21" s="38"/>
      <c r="AT21" s="5"/>
      <c r="AU21" s="11"/>
      <c r="AV21" s="11"/>
      <c r="AW21" s="11"/>
      <c r="AX21" s="11"/>
      <c r="AY21" s="12"/>
      <c r="AZ21" s="130"/>
      <c r="BA21" s="140"/>
      <c r="BB21" s="129"/>
      <c r="BG21" s="9"/>
      <c r="BH21" s="9"/>
      <c r="BI21" s="31"/>
      <c r="BJ21" s="79"/>
      <c r="BK21" s="79"/>
      <c r="BL21" s="28"/>
      <c r="BM21" s="78"/>
      <c r="BN21" s="31"/>
      <c r="BO21" s="28"/>
    </row>
    <row r="22" spans="1:54" ht="12.75">
      <c r="A22" s="4" t="s">
        <v>253</v>
      </c>
      <c r="B22" s="5" t="s">
        <v>256</v>
      </c>
      <c r="C22" s="15"/>
      <c r="D22" s="15"/>
      <c r="E22" s="15"/>
      <c r="F22" s="15"/>
      <c r="G22" s="15"/>
      <c r="H22" s="16"/>
      <c r="I22" s="130">
        <v>85488</v>
      </c>
      <c r="J22" s="9"/>
      <c r="K22" s="9" t="s">
        <v>173</v>
      </c>
      <c r="L22" s="185">
        <v>122848480</v>
      </c>
      <c r="M22" s="184">
        <v>146</v>
      </c>
      <c r="N22" s="184">
        <v>148</v>
      </c>
      <c r="O22" s="17">
        <v>20</v>
      </c>
      <c r="P22" s="183">
        <f>N22-M22</f>
        <v>2</v>
      </c>
      <c r="Q22" s="111"/>
      <c r="R22" s="20">
        <f>O22*P22+Q22</f>
        <v>40</v>
      </c>
      <c r="S22" s="21" t="s">
        <v>61</v>
      </c>
      <c r="T22" s="23" t="s">
        <v>31</v>
      </c>
      <c r="U22" s="24"/>
      <c r="V22" s="24"/>
      <c r="W22" s="27">
        <f t="shared" si="0"/>
        <v>845323</v>
      </c>
      <c r="X22" s="41">
        <f>ROUND(I39,0)</f>
        <v>845323</v>
      </c>
      <c r="Y22" s="30">
        <v>0</v>
      </c>
      <c r="Z22" s="30">
        <v>0</v>
      </c>
      <c r="AA22" s="30">
        <v>0</v>
      </c>
      <c r="AB22" s="36"/>
      <c r="AC22" s="24"/>
      <c r="AD22" s="24"/>
      <c r="AE22" s="24"/>
      <c r="AF22" s="37"/>
      <c r="AG22" s="38"/>
      <c r="AH22" s="38"/>
      <c r="AI22" s="37"/>
      <c r="AJ22" s="38"/>
      <c r="AK22" s="36"/>
      <c r="AL22" s="24"/>
      <c r="AM22" s="24"/>
      <c r="AN22" s="24"/>
      <c r="AO22" s="37"/>
      <c r="AP22" s="38"/>
      <c r="AQ22" s="39"/>
      <c r="AR22" s="37"/>
      <c r="AS22" s="38"/>
      <c r="AT22" s="105" t="s">
        <v>6</v>
      </c>
      <c r="AU22" s="106"/>
      <c r="AV22" s="106"/>
      <c r="AW22" s="106"/>
      <c r="AX22" s="11"/>
      <c r="AY22" s="12"/>
      <c r="AZ22" s="130"/>
      <c r="BA22" s="142"/>
      <c r="BB22" s="143"/>
    </row>
    <row r="23" spans="1:54" ht="12.75">
      <c r="A23" s="5"/>
      <c r="B23" s="5"/>
      <c r="C23" s="179"/>
      <c r="D23" s="180"/>
      <c r="E23" s="180"/>
      <c r="F23" s="181"/>
      <c r="G23" s="182"/>
      <c r="H23" s="16"/>
      <c r="I23" s="130"/>
      <c r="J23" s="5"/>
      <c r="K23" s="95"/>
      <c r="L23" s="95"/>
      <c r="M23" s="95"/>
      <c r="N23" s="95"/>
      <c r="O23" s="95"/>
      <c r="P23" s="96" t="s">
        <v>159</v>
      </c>
      <c r="Q23" s="97"/>
      <c r="R23" s="20">
        <f>R19+R21+R22+R20</f>
        <v>921</v>
      </c>
      <c r="S23" s="21" t="s">
        <v>62</v>
      </c>
      <c r="T23" s="23" t="s">
        <v>32</v>
      </c>
      <c r="U23" s="24"/>
      <c r="V23" s="24"/>
      <c r="W23" s="27">
        <f t="shared" si="0"/>
        <v>1047706</v>
      </c>
      <c r="X23" s="41">
        <v>0</v>
      </c>
      <c r="Y23" s="30">
        <v>0</v>
      </c>
      <c r="Z23" s="27">
        <f>I26+I25</f>
        <v>1047706</v>
      </c>
      <c r="AA23" s="30">
        <v>0</v>
      </c>
      <c r="AB23" s="36"/>
      <c r="AC23" s="24"/>
      <c r="AD23" s="24"/>
      <c r="AE23" s="24"/>
      <c r="AF23" s="37"/>
      <c r="AG23" s="38"/>
      <c r="AH23" s="39"/>
      <c r="AI23" s="37"/>
      <c r="AJ23" s="38"/>
      <c r="AK23" s="36"/>
      <c r="AL23" s="24"/>
      <c r="AM23" s="24"/>
      <c r="AN23" s="24"/>
      <c r="AO23" s="37"/>
      <c r="AP23" s="38"/>
      <c r="AQ23" s="39"/>
      <c r="AR23" s="37"/>
      <c r="AS23" s="38"/>
      <c r="AT23" s="10" t="s">
        <v>7</v>
      </c>
      <c r="AU23" s="11"/>
      <c r="AV23" s="11"/>
      <c r="AW23" s="11"/>
      <c r="AX23" s="11"/>
      <c r="AY23" s="12"/>
      <c r="AZ23" s="130"/>
      <c r="BA23" s="142"/>
      <c r="BB23" s="129"/>
    </row>
    <row r="24" spans="1:54" ht="13.5" customHeight="1">
      <c r="A24" s="4" t="s">
        <v>111</v>
      </c>
      <c r="B24" s="6" t="s">
        <v>112</v>
      </c>
      <c r="C24" s="13"/>
      <c r="D24" s="13"/>
      <c r="E24" s="13"/>
      <c r="F24" s="13"/>
      <c r="G24" s="13"/>
      <c r="H24" s="13"/>
      <c r="I24" s="16"/>
      <c r="J24" s="10"/>
      <c r="K24" s="11"/>
      <c r="L24" s="11"/>
      <c r="M24" s="11"/>
      <c r="N24" s="11"/>
      <c r="O24" s="11"/>
      <c r="P24" s="98"/>
      <c r="Q24" s="99"/>
      <c r="R24" s="100"/>
      <c r="S24" s="21" t="s">
        <v>63</v>
      </c>
      <c r="T24" s="24" t="s">
        <v>33</v>
      </c>
      <c r="U24" s="24"/>
      <c r="V24" s="24"/>
      <c r="W24" s="27">
        <f t="shared" si="0"/>
        <v>38354</v>
      </c>
      <c r="X24" s="41">
        <v>0</v>
      </c>
      <c r="Y24" s="30">
        <v>0</v>
      </c>
      <c r="Z24" s="27">
        <f>I41</f>
        <v>38354</v>
      </c>
      <c r="AA24" s="30">
        <v>0</v>
      </c>
      <c r="AB24" s="18"/>
      <c r="AC24" s="7" t="s">
        <v>82</v>
      </c>
      <c r="AD24" s="7"/>
      <c r="AE24" s="7"/>
      <c r="AF24" s="19"/>
      <c r="AG24" s="19"/>
      <c r="AH24" s="19"/>
      <c r="AI24" s="19"/>
      <c r="AJ24" s="19"/>
      <c r="AK24" s="18"/>
      <c r="AL24" s="7" t="s">
        <v>162</v>
      </c>
      <c r="AM24" s="7"/>
      <c r="AN24" s="7"/>
      <c r="AO24" s="19"/>
      <c r="AP24" s="19"/>
      <c r="AQ24" s="19"/>
      <c r="AR24" s="19"/>
      <c r="AS24" s="19"/>
      <c r="AT24" s="112" t="s">
        <v>40</v>
      </c>
      <c r="AU24" s="95"/>
      <c r="AV24" s="95"/>
      <c r="AW24" s="95"/>
      <c r="AX24" s="95"/>
      <c r="AY24" s="113"/>
      <c r="AZ24" s="144"/>
      <c r="BA24" s="137"/>
      <c r="BB24" s="134"/>
    </row>
    <row r="25" spans="1:54" ht="12.75">
      <c r="A25" s="8" t="s">
        <v>113</v>
      </c>
      <c r="B25" s="8" t="s">
        <v>116</v>
      </c>
      <c r="C25" s="50"/>
      <c r="D25" s="172"/>
      <c r="E25" s="172"/>
      <c r="F25" s="28"/>
      <c r="G25" s="173"/>
      <c r="H25" s="28"/>
      <c r="I25" s="28"/>
      <c r="J25" s="23" t="s">
        <v>160</v>
      </c>
      <c r="K25" s="24"/>
      <c r="L25" s="24"/>
      <c r="M25" s="24"/>
      <c r="N25" s="24"/>
      <c r="O25" s="24"/>
      <c r="P25" s="45"/>
      <c r="Q25" s="88"/>
      <c r="R25" s="101"/>
      <c r="S25" s="21" t="s">
        <v>64</v>
      </c>
      <c r="T25" s="24" t="s">
        <v>34</v>
      </c>
      <c r="U25" s="24"/>
      <c r="V25" s="24"/>
      <c r="W25" s="27">
        <f t="shared" si="0"/>
        <v>216283</v>
      </c>
      <c r="X25" s="41">
        <v>0</v>
      </c>
      <c r="Y25" s="30">
        <v>0</v>
      </c>
      <c r="Z25" s="27">
        <f>I43</f>
        <v>216283</v>
      </c>
      <c r="AA25" s="30">
        <v>0</v>
      </c>
      <c r="AB25" s="18"/>
      <c r="AC25" s="7" t="s">
        <v>263</v>
      </c>
      <c r="AD25" s="7"/>
      <c r="AE25" s="7"/>
      <c r="AF25" s="7"/>
      <c r="AG25" s="7"/>
      <c r="AH25" s="7"/>
      <c r="AI25" s="7"/>
      <c r="AJ25" s="7"/>
      <c r="AK25" s="18"/>
      <c r="AL25" s="7" t="s">
        <v>263</v>
      </c>
      <c r="AM25" s="7"/>
      <c r="AN25" s="7"/>
      <c r="AO25" s="7"/>
      <c r="AP25" s="7"/>
      <c r="AQ25" s="7"/>
      <c r="AR25" s="7"/>
      <c r="AS25" s="7"/>
      <c r="AT25" s="6" t="s">
        <v>77</v>
      </c>
      <c r="AU25" s="13"/>
      <c r="AV25" s="13"/>
      <c r="AW25" s="13"/>
      <c r="AX25" s="13"/>
      <c r="AY25" s="14"/>
      <c r="AZ25" s="192">
        <v>7.479539</v>
      </c>
      <c r="BA25" s="146">
        <v>26600</v>
      </c>
      <c r="BB25" s="134">
        <f>AZ25*BA25</f>
        <v>198955.7374</v>
      </c>
    </row>
    <row r="26" spans="1:54" ht="12.75">
      <c r="A26" s="9"/>
      <c r="B26" s="9" t="s">
        <v>114</v>
      </c>
      <c r="C26" s="51">
        <v>109056121</v>
      </c>
      <c r="D26" s="172">
        <v>21689.6482</v>
      </c>
      <c r="E26" s="172">
        <v>21907.9202</v>
      </c>
      <c r="F26" s="28">
        <v>4800</v>
      </c>
      <c r="G26" s="173">
        <f aca="true" t="shared" si="1" ref="G26:G43">E26-D26</f>
        <v>218.27200000000084</v>
      </c>
      <c r="H26" s="28"/>
      <c r="I26" s="28">
        <f>ROUND(F26*G26+H26,0)</f>
        <v>1047706</v>
      </c>
      <c r="J26" s="74" t="s">
        <v>282</v>
      </c>
      <c r="K26" s="75"/>
      <c r="L26" s="75"/>
      <c r="M26" s="46"/>
      <c r="N26" s="13"/>
      <c r="O26" s="13"/>
      <c r="P26" s="13"/>
      <c r="Q26" s="13"/>
      <c r="R26" s="62"/>
      <c r="S26" s="22" t="s">
        <v>65</v>
      </c>
      <c r="T26" s="13" t="s">
        <v>35</v>
      </c>
      <c r="U26" s="13"/>
      <c r="V26" s="13"/>
      <c r="W26" s="28">
        <f>SUM(X26:AA26)</f>
        <v>37906</v>
      </c>
      <c r="X26" s="42">
        <v>0</v>
      </c>
      <c r="Y26" s="31">
        <v>0</v>
      </c>
      <c r="Z26" s="28">
        <f>I45+I46</f>
        <v>37906</v>
      </c>
      <c r="AA26" s="31">
        <v>0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5" t="s">
        <v>78</v>
      </c>
      <c r="AU26" s="15"/>
      <c r="AV26" s="15"/>
      <c r="AW26" s="15"/>
      <c r="AX26" s="24"/>
      <c r="AY26" s="25"/>
      <c r="AZ26" s="145">
        <f>(X14+AG14+AP14)/1000</f>
        <v>7597.495</v>
      </c>
      <c r="BA26" s="129">
        <v>16</v>
      </c>
      <c r="BB26" s="134">
        <f>AZ26*BA26</f>
        <v>121559.92</v>
      </c>
    </row>
    <row r="27" spans="1:54" ht="12.75">
      <c r="A27" s="8" t="s">
        <v>115</v>
      </c>
      <c r="B27" s="8" t="s">
        <v>127</v>
      </c>
      <c r="C27" s="50">
        <v>623125232</v>
      </c>
      <c r="D27" s="174">
        <v>9240.7087</v>
      </c>
      <c r="E27" s="174">
        <v>9240.7087</v>
      </c>
      <c r="F27" s="35">
        <v>1800</v>
      </c>
      <c r="G27" s="175">
        <f t="shared" si="1"/>
        <v>0</v>
      </c>
      <c r="H27" s="33"/>
      <c r="I27" s="35">
        <f>ROUND(G27*F27,0)</f>
        <v>0</v>
      </c>
      <c r="J27" s="7"/>
      <c r="K27" s="24"/>
      <c r="L27" s="24"/>
      <c r="M27" s="24"/>
      <c r="N27" s="24"/>
      <c r="O27" s="24"/>
      <c r="P27" s="45"/>
      <c r="Q27" s="88"/>
      <c r="R27" s="87"/>
      <c r="S27" s="36"/>
      <c r="T27" s="24"/>
      <c r="U27" s="24"/>
      <c r="V27" s="24"/>
      <c r="W27" s="37"/>
      <c r="X27" s="37"/>
      <c r="Y27" s="38"/>
      <c r="Z27" s="37"/>
      <c r="AA27" s="38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6" t="s">
        <v>79</v>
      </c>
      <c r="AU27" s="13"/>
      <c r="AV27" s="13"/>
      <c r="AW27" s="13"/>
      <c r="AX27" s="11"/>
      <c r="AY27" s="12"/>
      <c r="AZ27" s="192">
        <v>2.137011</v>
      </c>
      <c r="BA27" s="129">
        <v>26600</v>
      </c>
      <c r="BB27" s="129">
        <f>AZ27*BA27</f>
        <v>56844.492600000005</v>
      </c>
    </row>
    <row r="28" spans="1:54" ht="12.75">
      <c r="A28" s="9"/>
      <c r="B28" s="9" t="s">
        <v>114</v>
      </c>
      <c r="C28" s="31"/>
      <c r="D28" s="79"/>
      <c r="E28" s="79"/>
      <c r="F28" s="28"/>
      <c r="G28" s="78"/>
      <c r="H28" s="31"/>
      <c r="I28" s="28"/>
      <c r="J28" s="24" t="s">
        <v>163</v>
      </c>
      <c r="K28" s="24"/>
      <c r="L28" s="114"/>
      <c r="M28" s="38"/>
      <c r="N28" s="115"/>
      <c r="O28" s="115"/>
      <c r="P28" s="43"/>
      <c r="Q28" s="24"/>
      <c r="R28" s="45"/>
      <c r="S28" s="7"/>
      <c r="T28" s="7"/>
      <c r="U28" s="7"/>
      <c r="V28" s="7"/>
      <c r="W28" s="7"/>
      <c r="X28" s="7"/>
      <c r="Y28" s="7"/>
      <c r="Z28" s="7"/>
      <c r="AA28" s="7"/>
      <c r="AB28" s="7" t="s">
        <v>217</v>
      </c>
      <c r="AC28" s="7"/>
      <c r="AD28" s="7"/>
      <c r="AE28" s="7"/>
      <c r="AF28" s="7"/>
      <c r="AG28" s="7" t="s">
        <v>218</v>
      </c>
      <c r="AH28" s="7"/>
      <c r="AI28" s="7" t="s">
        <v>219</v>
      </c>
      <c r="AJ28" s="7"/>
      <c r="AK28" s="7" t="s">
        <v>217</v>
      </c>
      <c r="AL28" s="7"/>
      <c r="AM28" s="7"/>
      <c r="AN28" s="7"/>
      <c r="AO28" s="7"/>
      <c r="AP28" s="7" t="s">
        <v>51</v>
      </c>
      <c r="AQ28" s="7"/>
      <c r="AR28" s="7" t="s">
        <v>52</v>
      </c>
      <c r="AS28" s="7"/>
      <c r="AT28" s="23" t="s">
        <v>80</v>
      </c>
      <c r="AU28" s="24"/>
      <c r="AV28" s="24"/>
      <c r="AW28" s="24"/>
      <c r="AX28" s="11"/>
      <c r="AY28" s="12"/>
      <c r="AZ28" s="145">
        <f>(Z14+AI14+AR14)/1000</f>
        <v>1412.694</v>
      </c>
      <c r="BA28" s="129">
        <v>16</v>
      </c>
      <c r="BB28" s="134">
        <f>AZ28*BA28</f>
        <v>22603.104</v>
      </c>
    </row>
    <row r="29" spans="1:54" ht="12.75">
      <c r="A29" s="8" t="s">
        <v>117</v>
      </c>
      <c r="B29" s="8" t="s">
        <v>128</v>
      </c>
      <c r="C29" s="50">
        <v>623125667</v>
      </c>
      <c r="D29" s="174">
        <v>11271.1471</v>
      </c>
      <c r="E29" s="174">
        <v>11581.2405</v>
      </c>
      <c r="F29" s="35">
        <v>1800</v>
      </c>
      <c r="G29" s="175">
        <f t="shared" si="1"/>
        <v>310.09339999999975</v>
      </c>
      <c r="H29" s="33"/>
      <c r="I29" s="35">
        <f>ROUND(G29*F29,0)</f>
        <v>558168</v>
      </c>
      <c r="J29" s="24"/>
      <c r="K29" s="24"/>
      <c r="L29" s="38"/>
      <c r="M29" s="38"/>
      <c r="N29" s="43"/>
      <c r="O29" s="43"/>
      <c r="P29" s="43"/>
      <c r="Q29" s="24"/>
      <c r="R29" s="45"/>
      <c r="S29" s="7"/>
      <c r="T29" s="7"/>
      <c r="U29" s="7"/>
      <c r="V29" s="7"/>
      <c r="W29" s="7"/>
      <c r="X29" s="7"/>
      <c r="Y29" s="7"/>
      <c r="Z29" s="7"/>
      <c r="AA29" s="7"/>
      <c r="AB29" s="7" t="s">
        <v>283</v>
      </c>
      <c r="AC29" s="7"/>
      <c r="AD29" s="7"/>
      <c r="AE29" s="7"/>
      <c r="AF29" s="7"/>
      <c r="AG29" s="7" t="s">
        <v>50</v>
      </c>
      <c r="AH29" s="7"/>
      <c r="AI29" s="7"/>
      <c r="AJ29" s="7"/>
      <c r="AK29" s="7" t="s">
        <v>283</v>
      </c>
      <c r="AL29" s="7"/>
      <c r="AM29" s="7"/>
      <c r="AN29" s="7"/>
      <c r="AO29" s="7"/>
      <c r="AP29" s="7" t="s">
        <v>50</v>
      </c>
      <c r="AQ29" s="7"/>
      <c r="AR29" s="7"/>
      <c r="AS29" s="7"/>
      <c r="AT29" s="10"/>
      <c r="AU29" s="11"/>
      <c r="AV29" s="11"/>
      <c r="AW29" s="11"/>
      <c r="AX29" s="11"/>
      <c r="AY29" s="12"/>
      <c r="AZ29" s="130"/>
      <c r="BA29" s="137"/>
      <c r="BB29" s="134"/>
    </row>
    <row r="30" spans="1:54" ht="12.75">
      <c r="A30" s="9"/>
      <c r="B30" s="9" t="s">
        <v>114</v>
      </c>
      <c r="C30" s="31"/>
      <c r="D30" s="79"/>
      <c r="E30" s="79"/>
      <c r="F30" s="28"/>
      <c r="G30" s="78"/>
      <c r="H30" s="31"/>
      <c r="I30" s="28"/>
      <c r="J30" s="24"/>
      <c r="K30" s="24"/>
      <c r="L30" s="38"/>
      <c r="M30" s="38"/>
      <c r="N30" s="43"/>
      <c r="O30" s="43"/>
      <c r="P30" s="43"/>
      <c r="Q30" s="24"/>
      <c r="R30" s="45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10"/>
      <c r="AU30" s="11"/>
      <c r="AV30" s="11"/>
      <c r="AW30" s="11"/>
      <c r="AX30" s="11"/>
      <c r="AY30" s="12"/>
      <c r="AZ30" s="130"/>
      <c r="BA30" s="137"/>
      <c r="BB30" s="134"/>
    </row>
    <row r="31" spans="1:54" ht="12.75">
      <c r="A31" s="8" t="s">
        <v>118</v>
      </c>
      <c r="B31" s="8" t="s">
        <v>129</v>
      </c>
      <c r="C31" s="50">
        <v>623126370</v>
      </c>
      <c r="D31" s="174">
        <v>3006.8687</v>
      </c>
      <c r="E31" s="174">
        <v>3065.8395</v>
      </c>
      <c r="F31" s="35">
        <v>4800</v>
      </c>
      <c r="G31" s="175">
        <f t="shared" si="1"/>
        <v>58.970800000000054</v>
      </c>
      <c r="H31" s="33"/>
      <c r="I31" s="35">
        <f>ROUND(G31*F31,0)</f>
        <v>283060</v>
      </c>
      <c r="J31" s="24"/>
      <c r="K31" s="24"/>
      <c r="L31" s="114"/>
      <c r="M31" s="38"/>
      <c r="N31" s="115" t="s">
        <v>164</v>
      </c>
      <c r="O31" s="115"/>
      <c r="P31" s="43"/>
      <c r="Q31" s="24"/>
      <c r="R31" s="45"/>
      <c r="S31" s="7" t="s">
        <v>217</v>
      </c>
      <c r="T31" s="7"/>
      <c r="U31" s="7"/>
      <c r="V31" s="7"/>
      <c r="W31" s="7"/>
      <c r="X31" s="7" t="s">
        <v>218</v>
      </c>
      <c r="Y31" s="7"/>
      <c r="Z31" s="7" t="s">
        <v>219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10"/>
      <c r="AU31" s="11"/>
      <c r="AV31" s="11"/>
      <c r="AW31" s="11"/>
      <c r="AX31" s="11"/>
      <c r="AY31" s="12"/>
      <c r="AZ31" s="130"/>
      <c r="BA31" s="137"/>
      <c r="BB31" s="134"/>
    </row>
    <row r="32" spans="1:54" ht="12.75">
      <c r="A32" s="9"/>
      <c r="B32" s="9" t="s">
        <v>114</v>
      </c>
      <c r="C32" s="31"/>
      <c r="D32" s="79"/>
      <c r="E32" s="79"/>
      <c r="F32" s="28"/>
      <c r="G32" s="78"/>
      <c r="H32" s="31"/>
      <c r="I32" s="28"/>
      <c r="J32" s="24"/>
      <c r="K32" s="24"/>
      <c r="L32" s="38"/>
      <c r="M32" s="38"/>
      <c r="N32" s="115" t="s">
        <v>259</v>
      </c>
      <c r="O32" s="115"/>
      <c r="P32" s="43"/>
      <c r="Q32" s="24"/>
      <c r="R32" s="45"/>
      <c r="S32" s="7" t="s">
        <v>283</v>
      </c>
      <c r="T32" s="7"/>
      <c r="U32" s="7"/>
      <c r="V32" s="7"/>
      <c r="W32" s="7"/>
      <c r="X32" s="7" t="s">
        <v>50</v>
      </c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10" t="s">
        <v>215</v>
      </c>
      <c r="AU32" s="11"/>
      <c r="AV32" s="11"/>
      <c r="AW32" s="11"/>
      <c r="AX32" s="11"/>
      <c r="AY32" s="12"/>
      <c r="AZ32" s="130"/>
      <c r="BA32" s="147"/>
      <c r="BB32" s="129"/>
    </row>
    <row r="33" spans="1:54" ht="12.75">
      <c r="A33" s="8" t="s">
        <v>119</v>
      </c>
      <c r="B33" s="8" t="s">
        <v>130</v>
      </c>
      <c r="C33" s="50">
        <v>623125137</v>
      </c>
      <c r="D33" s="174">
        <v>2202.709</v>
      </c>
      <c r="E33" s="174">
        <v>2202.709</v>
      </c>
      <c r="F33" s="35">
        <v>4800</v>
      </c>
      <c r="G33" s="175">
        <f t="shared" si="1"/>
        <v>0</v>
      </c>
      <c r="H33" s="33"/>
      <c r="I33" s="35">
        <f>ROUND(G33*F33,0)</f>
        <v>0</v>
      </c>
      <c r="J33" s="24"/>
      <c r="K33" s="24"/>
      <c r="L33" s="114"/>
      <c r="M33" s="38"/>
      <c r="N33" s="115" t="s">
        <v>283</v>
      </c>
      <c r="O33" s="115"/>
      <c r="P33" s="43"/>
      <c r="Q33" s="24"/>
      <c r="R33" s="45"/>
      <c r="S33" s="7"/>
      <c r="T33" s="7"/>
      <c r="U33" s="7"/>
      <c r="V33" s="7"/>
      <c r="W33" s="7"/>
      <c r="X33" s="7"/>
      <c r="Y33" s="7"/>
      <c r="Z33" s="7"/>
      <c r="AA33" s="7"/>
      <c r="AB33" s="7" t="s">
        <v>49</v>
      </c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10" t="s">
        <v>213</v>
      </c>
      <c r="AU33" s="11"/>
      <c r="AV33" s="11"/>
      <c r="AW33" s="11"/>
      <c r="AX33" s="11"/>
      <c r="AY33" s="12"/>
      <c r="AZ33" s="130"/>
      <c r="BA33" s="137"/>
      <c r="BB33" s="129"/>
    </row>
    <row r="34" spans="1:54" ht="12.75">
      <c r="A34" s="9"/>
      <c r="B34" s="9" t="s">
        <v>114</v>
      </c>
      <c r="C34" s="31"/>
      <c r="D34" s="79"/>
      <c r="E34" s="79"/>
      <c r="F34" s="28"/>
      <c r="G34" s="78"/>
      <c r="H34" s="31"/>
      <c r="I34" s="28"/>
      <c r="J34" s="24"/>
      <c r="K34" s="24"/>
      <c r="L34" s="38"/>
      <c r="M34" s="38"/>
      <c r="N34" s="115"/>
      <c r="O34" s="115"/>
      <c r="P34" s="43"/>
      <c r="Q34" s="24"/>
      <c r="R34" s="45"/>
      <c r="S34" s="7"/>
      <c r="T34" s="7"/>
      <c r="U34" s="7"/>
      <c r="V34" s="7"/>
      <c r="W34" s="7"/>
      <c r="X34" s="7"/>
      <c r="Y34" s="7"/>
      <c r="Z34" s="7"/>
      <c r="AA34" s="7"/>
      <c r="AB34" s="7" t="s">
        <v>4</v>
      </c>
      <c r="AC34" s="7"/>
      <c r="AD34" s="7"/>
      <c r="AE34" s="7"/>
      <c r="AF34" s="7"/>
      <c r="AG34" s="7"/>
      <c r="AH34" s="7"/>
      <c r="AI34" s="7"/>
      <c r="AJ34" s="7"/>
      <c r="AK34" s="7" t="s">
        <v>49</v>
      </c>
      <c r="AL34" s="7"/>
      <c r="AM34" s="7"/>
      <c r="AN34" s="7"/>
      <c r="AO34" s="7"/>
      <c r="AP34" s="7"/>
      <c r="AQ34" s="7"/>
      <c r="AR34" s="7"/>
      <c r="AS34" s="7"/>
      <c r="AT34" s="10" t="s">
        <v>216</v>
      </c>
      <c r="AU34" s="11"/>
      <c r="AV34" s="11"/>
      <c r="AW34" s="11"/>
      <c r="AX34" s="11"/>
      <c r="AY34" s="12"/>
      <c r="AZ34" s="130"/>
      <c r="BA34" s="142"/>
      <c r="BB34" s="129"/>
    </row>
    <row r="35" spans="1:54" ht="12.75">
      <c r="A35" s="8" t="s">
        <v>120</v>
      </c>
      <c r="B35" s="8" t="s">
        <v>131</v>
      </c>
      <c r="C35" s="50">
        <v>623125142</v>
      </c>
      <c r="D35" s="174">
        <v>14801.043</v>
      </c>
      <c r="E35" s="174">
        <v>15137.44</v>
      </c>
      <c r="F35" s="35">
        <v>2400</v>
      </c>
      <c r="G35" s="175">
        <f t="shared" si="1"/>
        <v>336.39700000000084</v>
      </c>
      <c r="H35" s="33"/>
      <c r="I35" s="35">
        <f>ROUND(G35*F35,0)</f>
        <v>807353</v>
      </c>
      <c r="J35" s="24"/>
      <c r="K35" s="24"/>
      <c r="L35" s="114"/>
      <c r="M35" s="38"/>
      <c r="N35" s="116" t="s">
        <v>166</v>
      </c>
      <c r="O35" s="116"/>
      <c r="P35" s="43"/>
      <c r="Q35" s="24"/>
      <c r="R35" s="45"/>
      <c r="S35" s="7"/>
      <c r="T35" s="7"/>
      <c r="U35" s="7"/>
      <c r="V35" s="7"/>
      <c r="W35" s="7"/>
      <c r="X35" s="7"/>
      <c r="Y35" s="7"/>
      <c r="Z35" s="7"/>
      <c r="AA35" s="7"/>
      <c r="AB35" s="7" t="s">
        <v>66</v>
      </c>
      <c r="AC35" s="7"/>
      <c r="AD35" s="7"/>
      <c r="AE35" s="7"/>
      <c r="AF35" s="7"/>
      <c r="AG35" s="7" t="s">
        <v>37</v>
      </c>
      <c r="AH35" s="7"/>
      <c r="AI35" s="7" t="s">
        <v>36</v>
      </c>
      <c r="AJ35" s="7"/>
      <c r="AK35" s="7" t="s">
        <v>220</v>
      </c>
      <c r="AL35" s="7"/>
      <c r="AM35" s="7"/>
      <c r="AN35" s="7"/>
      <c r="AO35" s="7"/>
      <c r="AP35" s="7"/>
      <c r="AQ35" s="7" t="s">
        <v>221</v>
      </c>
      <c r="AR35" s="7"/>
      <c r="AS35" s="7"/>
      <c r="AT35" s="10" t="s">
        <v>213</v>
      </c>
      <c r="AU35" s="11"/>
      <c r="AV35" s="11"/>
      <c r="AW35" s="11"/>
      <c r="AX35" s="11"/>
      <c r="AY35" s="12"/>
      <c r="AZ35" s="130"/>
      <c r="BA35" s="142"/>
      <c r="BB35" s="129"/>
    </row>
    <row r="36" spans="1:54" ht="12.75">
      <c r="A36" s="9"/>
      <c r="B36" s="9" t="s">
        <v>114</v>
      </c>
      <c r="C36" s="31"/>
      <c r="D36" s="79"/>
      <c r="E36" s="79"/>
      <c r="F36" s="28"/>
      <c r="G36" s="78"/>
      <c r="H36" s="31"/>
      <c r="I36" s="28"/>
      <c r="J36" s="24"/>
      <c r="K36" s="89"/>
      <c r="L36" s="38"/>
      <c r="M36" s="38"/>
      <c r="N36" s="117" t="s">
        <v>165</v>
      </c>
      <c r="O36" s="43"/>
      <c r="P36" s="43"/>
      <c r="Q36" s="24"/>
      <c r="R36" s="45"/>
      <c r="S36" s="7"/>
      <c r="T36" s="7"/>
      <c r="U36" s="7"/>
      <c r="V36" s="7"/>
      <c r="W36" s="7"/>
      <c r="X36" s="7"/>
      <c r="Y36" s="7"/>
      <c r="Z36" s="7"/>
      <c r="AA36" s="7"/>
      <c r="AB36" s="7" t="s">
        <v>81</v>
      </c>
      <c r="AC36" s="7"/>
      <c r="AD36" s="7"/>
      <c r="AE36" s="7"/>
      <c r="AF36" s="7"/>
      <c r="AG36" s="7" t="s">
        <v>50</v>
      </c>
      <c r="AH36" s="7"/>
      <c r="AI36" s="7"/>
      <c r="AJ36" s="7"/>
      <c r="AK36" s="7"/>
      <c r="AL36" s="7"/>
      <c r="AM36" s="7"/>
      <c r="AN36" s="7"/>
      <c r="AO36" s="7"/>
      <c r="AP36" s="7"/>
      <c r="AQ36" s="7" t="s">
        <v>50</v>
      </c>
      <c r="AR36" s="7"/>
      <c r="AS36" s="7"/>
      <c r="AT36" s="10" t="s">
        <v>213</v>
      </c>
      <c r="AU36" s="11"/>
      <c r="AV36" s="11"/>
      <c r="AW36" s="11"/>
      <c r="AX36" s="11"/>
      <c r="AY36" s="12"/>
      <c r="AZ36" s="130"/>
      <c r="BA36" s="142"/>
      <c r="BB36" s="129"/>
    </row>
    <row r="37" spans="1:54" ht="12.75">
      <c r="A37" s="8" t="s">
        <v>121</v>
      </c>
      <c r="B37" s="8" t="s">
        <v>132</v>
      </c>
      <c r="C37" s="50">
        <v>623125205</v>
      </c>
      <c r="D37" s="174">
        <v>5398.5313</v>
      </c>
      <c r="E37" s="174">
        <v>5525.6932</v>
      </c>
      <c r="F37" s="35">
        <v>1800</v>
      </c>
      <c r="G37" s="175">
        <f t="shared" si="1"/>
        <v>127.16190000000006</v>
      </c>
      <c r="H37" s="33"/>
      <c r="I37" s="35">
        <f>ROUND(G37*F37,0)</f>
        <v>228891</v>
      </c>
      <c r="J37" s="7"/>
      <c r="K37" s="24"/>
      <c r="L37" s="24"/>
      <c r="M37" s="24"/>
      <c r="N37" s="24"/>
      <c r="O37" s="24"/>
      <c r="P37" s="45"/>
      <c r="Q37" s="86"/>
      <c r="R37" s="87"/>
      <c r="S37" s="7" t="s">
        <v>278</v>
      </c>
      <c r="T37" s="7"/>
      <c r="U37" s="7"/>
      <c r="V37" s="7"/>
      <c r="W37" s="7"/>
      <c r="X37" s="7" t="s">
        <v>218</v>
      </c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11" t="s">
        <v>180</v>
      </c>
      <c r="AU37" s="11"/>
      <c r="AV37" s="11"/>
      <c r="AW37" s="11"/>
      <c r="AX37" s="11"/>
      <c r="AY37" s="12"/>
      <c r="AZ37" s="130"/>
      <c r="BA37" s="137"/>
      <c r="BB37" s="129"/>
    </row>
    <row r="38" spans="1:54" ht="12.75">
      <c r="A38" s="9"/>
      <c r="B38" s="9" t="s">
        <v>114</v>
      </c>
      <c r="C38" s="31"/>
      <c r="D38" s="79"/>
      <c r="E38" s="79"/>
      <c r="F38" s="28"/>
      <c r="G38" s="78"/>
      <c r="H38" s="31"/>
      <c r="I38" s="28"/>
      <c r="J38" s="7"/>
      <c r="K38" s="24"/>
      <c r="L38" s="24"/>
      <c r="M38" s="24"/>
      <c r="N38" s="24"/>
      <c r="O38" s="24"/>
      <c r="P38" s="45"/>
      <c r="Q38" s="86"/>
      <c r="R38" s="87"/>
      <c r="S38" s="7"/>
      <c r="T38" s="7"/>
      <c r="U38" s="7"/>
      <c r="V38" s="7"/>
      <c r="W38" s="7"/>
      <c r="X38" s="7" t="s">
        <v>50</v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10" t="s">
        <v>213</v>
      </c>
      <c r="AU38" s="11"/>
      <c r="AV38" s="11" t="s">
        <v>21</v>
      </c>
      <c r="AW38" s="11"/>
      <c r="AX38" s="11"/>
      <c r="AY38" s="12"/>
      <c r="AZ38" s="130"/>
      <c r="BA38" s="142"/>
      <c r="BB38" s="129"/>
    </row>
    <row r="39" spans="1:54" ht="12.75">
      <c r="A39" s="8" t="s">
        <v>122</v>
      </c>
      <c r="B39" s="8" t="s">
        <v>133</v>
      </c>
      <c r="C39" s="50">
        <v>623123704</v>
      </c>
      <c r="D39" s="174">
        <v>9071.5185</v>
      </c>
      <c r="E39" s="174">
        <v>9541.1426</v>
      </c>
      <c r="F39" s="35">
        <v>1800</v>
      </c>
      <c r="G39" s="175">
        <f t="shared" si="1"/>
        <v>469.6240999999991</v>
      </c>
      <c r="H39" s="33"/>
      <c r="I39" s="35">
        <f>ROUND(G39*F39,0)</f>
        <v>845323</v>
      </c>
      <c r="J39" s="7"/>
      <c r="K39" s="24"/>
      <c r="L39" s="24"/>
      <c r="M39" s="24"/>
      <c r="N39" s="24"/>
      <c r="O39" s="24"/>
      <c r="P39" s="45"/>
      <c r="Q39" s="86"/>
      <c r="R39" s="8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10" t="s">
        <v>214</v>
      </c>
      <c r="AU39" s="11"/>
      <c r="AV39" s="11" t="s">
        <v>211</v>
      </c>
      <c r="AW39" s="11"/>
      <c r="AX39" s="11"/>
      <c r="AY39" s="12"/>
      <c r="AZ39" s="130"/>
      <c r="BA39" s="142"/>
      <c r="BB39" s="129"/>
    </row>
    <row r="40" spans="1:54" ht="12.75">
      <c r="A40" s="9"/>
      <c r="B40" s="9" t="s">
        <v>114</v>
      </c>
      <c r="C40" s="31"/>
      <c r="D40" s="79"/>
      <c r="E40" s="79"/>
      <c r="F40" s="28"/>
      <c r="G40" s="78"/>
      <c r="H40" s="31"/>
      <c r="I40" s="28"/>
      <c r="J40" s="7"/>
      <c r="K40" s="24"/>
      <c r="L40" s="24"/>
      <c r="M40" s="24"/>
      <c r="N40" s="24"/>
      <c r="O40" s="24"/>
      <c r="P40" s="45"/>
      <c r="Q40" s="86"/>
      <c r="R40" s="87"/>
      <c r="S40" s="89"/>
      <c r="T40" s="118"/>
      <c r="U40" s="24"/>
      <c r="V40" s="24"/>
      <c r="W40" s="43"/>
      <c r="X40" s="43"/>
      <c r="Y40" s="119"/>
      <c r="Z40" s="24"/>
      <c r="AA40" s="45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10"/>
      <c r="AU40" s="11"/>
      <c r="AV40" s="11"/>
      <c r="AW40" s="11"/>
      <c r="AX40" s="11"/>
      <c r="AY40" s="12"/>
      <c r="AZ40" s="130"/>
      <c r="BA40" s="142"/>
      <c r="BB40" s="129"/>
    </row>
    <row r="41" spans="1:54" ht="12.75">
      <c r="A41" s="8" t="s">
        <v>123</v>
      </c>
      <c r="B41" s="8" t="s">
        <v>134</v>
      </c>
      <c r="C41" s="50">
        <v>623125794</v>
      </c>
      <c r="D41" s="174">
        <v>191.8954</v>
      </c>
      <c r="E41" s="174">
        <v>213.2032</v>
      </c>
      <c r="F41" s="35">
        <v>1800</v>
      </c>
      <c r="G41" s="175">
        <f t="shared" si="1"/>
        <v>21.307800000000015</v>
      </c>
      <c r="H41" s="33"/>
      <c r="I41" s="35">
        <f>ROUND(G41*F41,0)</f>
        <v>38354</v>
      </c>
      <c r="J41" s="7"/>
      <c r="K41" s="24"/>
      <c r="L41" s="24"/>
      <c r="M41" s="24"/>
      <c r="N41" s="24"/>
      <c r="O41" s="24"/>
      <c r="P41" s="45"/>
      <c r="Q41" s="86"/>
      <c r="R41" s="87"/>
      <c r="S41" s="89"/>
      <c r="T41" s="118"/>
      <c r="U41" s="24"/>
      <c r="V41" s="24"/>
      <c r="W41" s="43"/>
      <c r="X41" s="43"/>
      <c r="Y41" s="119"/>
      <c r="Z41" s="24"/>
      <c r="AA41" s="45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10"/>
      <c r="AU41" s="11"/>
      <c r="AV41" s="11"/>
      <c r="AW41" s="11"/>
      <c r="AX41" s="11"/>
      <c r="AY41" s="12"/>
      <c r="AZ41" s="130"/>
      <c r="BA41" s="142"/>
      <c r="BB41" s="129"/>
    </row>
    <row r="42" spans="1:54" ht="12.75">
      <c r="A42" s="9"/>
      <c r="B42" s="9" t="s">
        <v>114</v>
      </c>
      <c r="C42" s="31"/>
      <c r="D42" s="79"/>
      <c r="E42" s="79"/>
      <c r="F42" s="28"/>
      <c r="G42" s="78"/>
      <c r="H42" s="31"/>
      <c r="I42" s="28"/>
      <c r="J42" s="7"/>
      <c r="K42" s="24"/>
      <c r="L42" s="24"/>
      <c r="M42" s="24"/>
      <c r="N42" s="24"/>
      <c r="O42" s="24"/>
      <c r="P42" s="45"/>
      <c r="Q42" s="86"/>
      <c r="R42" s="87"/>
      <c r="S42" s="118"/>
      <c r="T42" s="89"/>
      <c r="U42" s="24"/>
      <c r="V42" s="24"/>
      <c r="W42" s="24"/>
      <c r="X42" s="24"/>
      <c r="Y42" s="24"/>
      <c r="Z42" s="24"/>
      <c r="AA42" s="45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10"/>
      <c r="AU42" s="11"/>
      <c r="AV42" s="11"/>
      <c r="AW42" s="11"/>
      <c r="AX42" s="11"/>
      <c r="AY42" s="12"/>
      <c r="AZ42" s="130"/>
      <c r="BA42" s="137"/>
      <c r="BB42" s="129"/>
    </row>
    <row r="43" spans="1:54" ht="12.75">
      <c r="A43" s="8" t="s">
        <v>124</v>
      </c>
      <c r="B43" s="8" t="s">
        <v>135</v>
      </c>
      <c r="C43" s="50">
        <v>623125736</v>
      </c>
      <c r="D43" s="174">
        <v>4760.248</v>
      </c>
      <c r="E43" s="174">
        <v>4940.4842</v>
      </c>
      <c r="F43" s="35">
        <v>1200</v>
      </c>
      <c r="G43" s="175">
        <f t="shared" si="1"/>
        <v>180.23620000000028</v>
      </c>
      <c r="H43" s="33"/>
      <c r="I43" s="35">
        <f>ROUND(G43*F43,0)</f>
        <v>216283</v>
      </c>
      <c r="J43" s="7"/>
      <c r="K43" s="24"/>
      <c r="L43" s="24"/>
      <c r="M43" s="24"/>
      <c r="N43" s="24"/>
      <c r="O43" s="24"/>
      <c r="P43" s="45"/>
      <c r="Q43" s="86"/>
      <c r="R43" s="87"/>
      <c r="S43" s="89"/>
      <c r="T43" s="118"/>
      <c r="U43" s="24"/>
      <c r="V43" s="24"/>
      <c r="W43" s="43"/>
      <c r="X43" s="43"/>
      <c r="Y43" s="119"/>
      <c r="Z43" s="24"/>
      <c r="AA43" s="45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10" t="s">
        <v>180</v>
      </c>
      <c r="AU43" s="11"/>
      <c r="AV43" s="11"/>
      <c r="AW43" s="11"/>
      <c r="AX43" s="11"/>
      <c r="AY43" s="12"/>
      <c r="AZ43" s="130"/>
      <c r="BA43" s="142"/>
      <c r="BB43" s="129"/>
    </row>
    <row r="44" spans="1:54" ht="12.75">
      <c r="A44" s="9"/>
      <c r="B44" s="9" t="s">
        <v>114</v>
      </c>
      <c r="C44" s="30"/>
      <c r="D44" s="79"/>
      <c r="E44" s="79"/>
      <c r="F44" s="28"/>
      <c r="G44" s="78"/>
      <c r="H44" s="31"/>
      <c r="I44" s="28"/>
      <c r="J44" s="24"/>
      <c r="K44" s="24"/>
      <c r="L44" s="24"/>
      <c r="M44" s="24"/>
      <c r="N44" s="24"/>
      <c r="O44" s="24"/>
      <c r="P44" s="45"/>
      <c r="Q44" s="86"/>
      <c r="R44" s="8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10"/>
      <c r="AU44" s="11"/>
      <c r="AV44" s="11"/>
      <c r="AW44" s="11"/>
      <c r="AX44" s="11"/>
      <c r="AY44" s="12"/>
      <c r="AZ44" s="130"/>
      <c r="BA44" s="137"/>
      <c r="BB44" s="129"/>
    </row>
    <row r="45" spans="1:54" ht="12.75">
      <c r="A45" s="8" t="s">
        <v>125</v>
      </c>
      <c r="B45" s="10" t="s">
        <v>126</v>
      </c>
      <c r="C45" s="50">
        <v>1110171156</v>
      </c>
      <c r="D45" s="174">
        <v>14900.4568</v>
      </c>
      <c r="E45" s="174">
        <v>15848.114</v>
      </c>
      <c r="F45" s="35">
        <v>40</v>
      </c>
      <c r="G45" s="175">
        <f>E45-D45</f>
        <v>947.6571999999996</v>
      </c>
      <c r="H45" s="33"/>
      <c r="I45" s="35">
        <f>ROUND(G45*F45,0)</f>
        <v>37906</v>
      </c>
      <c r="J45" s="24"/>
      <c r="K45" s="24"/>
      <c r="L45" s="24"/>
      <c r="M45" s="24"/>
      <c r="N45" s="24"/>
      <c r="O45" s="24"/>
      <c r="P45" s="45"/>
      <c r="Q45" s="88"/>
      <c r="R45" s="8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10" t="s">
        <v>0</v>
      </c>
      <c r="AU45" s="11"/>
      <c r="AV45" s="11"/>
      <c r="AW45" s="11"/>
      <c r="AX45" s="11"/>
      <c r="AY45" s="12"/>
      <c r="AZ45" s="130"/>
      <c r="BA45" s="137"/>
      <c r="BB45" s="129"/>
    </row>
    <row r="46" spans="1:54" ht="12.75">
      <c r="A46" s="9"/>
      <c r="B46" s="6" t="s">
        <v>114</v>
      </c>
      <c r="C46" s="51"/>
      <c r="D46" s="186"/>
      <c r="E46" s="174"/>
      <c r="F46" s="35"/>
      <c r="G46" s="175"/>
      <c r="H46" s="33"/>
      <c r="I46" s="35"/>
      <c r="J46" s="24"/>
      <c r="K46" s="24"/>
      <c r="L46" s="24"/>
      <c r="M46" s="24"/>
      <c r="N46" s="24"/>
      <c r="O46" s="24"/>
      <c r="P46" s="45"/>
      <c r="Q46" s="86"/>
      <c r="R46" s="8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10"/>
      <c r="AU46" s="11"/>
      <c r="AV46" s="11" t="s">
        <v>184</v>
      </c>
      <c r="AW46" s="11"/>
      <c r="AX46" s="11"/>
      <c r="AY46" s="12"/>
      <c r="AZ46" s="130"/>
      <c r="BA46" s="147"/>
      <c r="BB46" s="129"/>
    </row>
    <row r="47" spans="1:54" ht="12.75">
      <c r="A47" s="54"/>
      <c r="B47" s="15"/>
      <c r="C47" s="46"/>
      <c r="D47" s="52"/>
      <c r="E47" s="53"/>
      <c r="F47" s="53"/>
      <c r="G47" s="68" t="s">
        <v>136</v>
      </c>
      <c r="H47" s="16"/>
      <c r="I47" s="85">
        <f>ROUND((SUM(I25:I46)+I20),0)</f>
        <v>8739965</v>
      </c>
      <c r="J47" s="24"/>
      <c r="K47" s="24"/>
      <c r="L47" s="24"/>
      <c r="M47" s="24"/>
      <c r="N47" s="24"/>
      <c r="O47" s="24"/>
      <c r="P47" s="45"/>
      <c r="Q47" s="88"/>
      <c r="R47" s="8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10"/>
      <c r="AU47" s="11"/>
      <c r="AV47" s="11"/>
      <c r="AW47" s="11"/>
      <c r="AX47" s="11"/>
      <c r="AY47" s="12"/>
      <c r="AZ47" s="130"/>
      <c r="BA47" s="137"/>
      <c r="BB47" s="129"/>
    </row>
    <row r="48" spans="1:54" ht="12.75">
      <c r="A48" s="8" t="s">
        <v>139</v>
      </c>
      <c r="B48" s="10" t="s">
        <v>137</v>
      </c>
      <c r="C48" s="55"/>
      <c r="D48" s="55"/>
      <c r="E48" s="56"/>
      <c r="F48" s="56"/>
      <c r="G48" s="57"/>
      <c r="H48" s="11"/>
      <c r="I48" s="58"/>
      <c r="J48" s="24"/>
      <c r="K48" s="24"/>
      <c r="L48" s="24"/>
      <c r="M48" s="24"/>
      <c r="N48" s="24"/>
      <c r="O48" s="24"/>
      <c r="P48" s="45"/>
      <c r="Q48" s="86"/>
      <c r="R48" s="8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10"/>
      <c r="AU48" s="11"/>
      <c r="AV48" s="11"/>
      <c r="AW48" s="11"/>
      <c r="AX48" s="11"/>
      <c r="AY48" s="12"/>
      <c r="AZ48" s="130"/>
      <c r="BA48" s="147"/>
      <c r="BB48" s="129"/>
    </row>
    <row r="49" spans="1:54" ht="12.75">
      <c r="A49" s="34"/>
      <c r="B49" s="23" t="s">
        <v>138</v>
      </c>
      <c r="C49" s="59"/>
      <c r="D49" s="46"/>
      <c r="E49" s="60"/>
      <c r="F49" s="60"/>
      <c r="G49" s="61"/>
      <c r="H49" s="13"/>
      <c r="I49" s="62"/>
      <c r="J49" s="24"/>
      <c r="K49" s="24"/>
      <c r="L49" s="89"/>
      <c r="M49" s="24"/>
      <c r="N49" s="24"/>
      <c r="O49" s="24"/>
      <c r="P49" s="45"/>
      <c r="Q49" s="86"/>
      <c r="R49" s="8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10"/>
      <c r="AU49" s="11"/>
      <c r="AV49" s="11" t="s">
        <v>184</v>
      </c>
      <c r="AW49" s="11"/>
      <c r="AX49" s="11"/>
      <c r="AY49" s="12"/>
      <c r="AZ49" s="130"/>
      <c r="BA49" s="142"/>
      <c r="BB49" s="129"/>
    </row>
    <row r="50" spans="1:54" ht="12.75">
      <c r="A50" s="10" t="s">
        <v>140</v>
      </c>
      <c r="B50" s="8" t="s">
        <v>228</v>
      </c>
      <c r="C50" s="153"/>
      <c r="D50" s="64"/>
      <c r="E50" s="64"/>
      <c r="F50" s="20"/>
      <c r="G50" s="65"/>
      <c r="H50" s="17"/>
      <c r="I50" s="20"/>
      <c r="J50" s="24"/>
      <c r="K50" s="24"/>
      <c r="L50" s="24"/>
      <c r="M50" s="24"/>
      <c r="N50" s="24"/>
      <c r="O50" s="24"/>
      <c r="P50" s="24"/>
      <c r="Q50" s="24"/>
      <c r="R50" s="24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15"/>
      <c r="AU50" s="15"/>
      <c r="AV50" s="120" t="s">
        <v>264</v>
      </c>
      <c r="AW50" s="15"/>
      <c r="AX50" s="15"/>
      <c r="AY50" s="16"/>
      <c r="AZ50" s="130"/>
      <c r="BA50" s="142"/>
      <c r="BB50" s="129"/>
    </row>
    <row r="51" spans="1:54" ht="12.75">
      <c r="A51" s="23"/>
      <c r="B51" s="34"/>
      <c r="C51" s="154">
        <v>611127627</v>
      </c>
      <c r="D51" s="151">
        <v>6348.1124</v>
      </c>
      <c r="E51" s="151">
        <v>6392.6036</v>
      </c>
      <c r="F51" s="20">
        <v>40</v>
      </c>
      <c r="G51" s="102">
        <f>E51-D51</f>
        <v>44.49120000000039</v>
      </c>
      <c r="H51" s="20"/>
      <c r="I51" s="20">
        <f>ROUND(F51*G51+H51,0)</f>
        <v>1780</v>
      </c>
      <c r="J51" s="24"/>
      <c r="K51" s="24"/>
      <c r="L51" s="24"/>
      <c r="M51" s="24"/>
      <c r="N51" s="24"/>
      <c r="O51" s="24"/>
      <c r="P51" s="24"/>
      <c r="Q51" s="24"/>
      <c r="R51" s="2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24"/>
      <c r="AU51" s="7"/>
      <c r="AV51" s="7"/>
      <c r="AW51" s="7"/>
      <c r="AX51" s="7"/>
      <c r="AY51" s="7"/>
      <c r="AZ51" s="7"/>
      <c r="BA51" s="7"/>
      <c r="BB51" s="7"/>
    </row>
    <row r="52" spans="1:54" ht="12.75">
      <c r="A52" s="23"/>
      <c r="B52" s="9" t="s">
        <v>224</v>
      </c>
      <c r="C52" s="154"/>
      <c r="D52" s="155"/>
      <c r="E52" s="155"/>
      <c r="F52" s="20"/>
      <c r="G52" s="65"/>
      <c r="H52" s="20"/>
      <c r="I52" s="20"/>
      <c r="J52" s="24"/>
      <c r="K52" s="24"/>
      <c r="L52" s="24"/>
      <c r="M52" s="24"/>
      <c r="N52" s="24"/>
      <c r="O52" s="24"/>
      <c r="P52" s="24"/>
      <c r="Q52" s="24"/>
      <c r="R52" s="24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24"/>
      <c r="AU52" s="7"/>
      <c r="AV52" s="7"/>
      <c r="AW52" s="7"/>
      <c r="AX52" s="7"/>
      <c r="AY52" s="7"/>
      <c r="AZ52" s="7"/>
      <c r="BA52" s="7"/>
      <c r="BB52" s="7"/>
    </row>
    <row r="53" spans="1:54" ht="12.75">
      <c r="A53" s="8" t="s">
        <v>143</v>
      </c>
      <c r="B53" s="25"/>
      <c r="C53" s="66">
        <v>810120245</v>
      </c>
      <c r="D53" s="151">
        <v>3778.8321</v>
      </c>
      <c r="E53" s="151">
        <v>3787.8249</v>
      </c>
      <c r="F53" s="20">
        <v>3600</v>
      </c>
      <c r="G53" s="102">
        <f>E53-D53</f>
        <v>8.992799999999988</v>
      </c>
      <c r="H53" s="20"/>
      <c r="I53" s="20">
        <f>ROUND(F53*G53+H53,0)</f>
        <v>32374</v>
      </c>
      <c r="J53" s="24"/>
      <c r="K53" s="24"/>
      <c r="L53" s="24"/>
      <c r="M53" s="24"/>
      <c r="N53" s="24"/>
      <c r="O53" s="24"/>
      <c r="P53" s="24"/>
      <c r="Q53" s="24"/>
      <c r="R53" s="2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24" t="s">
        <v>286</v>
      </c>
      <c r="AU53" s="7"/>
      <c r="AV53" s="7"/>
      <c r="AW53" s="7"/>
      <c r="AX53" s="7"/>
      <c r="AY53" s="7"/>
      <c r="AZ53" s="7"/>
      <c r="BA53" s="7"/>
      <c r="BB53" s="7"/>
    </row>
    <row r="54" spans="1:54" ht="12.75">
      <c r="A54" s="34"/>
      <c r="B54" s="25" t="s">
        <v>238</v>
      </c>
      <c r="C54" s="66"/>
      <c r="D54" s="151"/>
      <c r="E54" s="151"/>
      <c r="F54" s="20"/>
      <c r="G54" s="102"/>
      <c r="H54" s="4"/>
      <c r="I54" s="20"/>
      <c r="J54" s="24"/>
      <c r="K54" s="24"/>
      <c r="L54" s="24"/>
      <c r="M54" s="24"/>
      <c r="N54" s="24"/>
      <c r="O54" s="24"/>
      <c r="P54" s="24"/>
      <c r="Q54" s="24"/>
      <c r="R54" s="2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24"/>
      <c r="AU54" s="7"/>
      <c r="AV54" s="7"/>
      <c r="AW54" s="7"/>
      <c r="AX54" s="7"/>
      <c r="AY54" s="7"/>
      <c r="AZ54" s="7"/>
      <c r="BA54" s="7"/>
      <c r="BB54" s="7"/>
    </row>
    <row r="55" spans="1:54" ht="12.75">
      <c r="A55" s="34"/>
      <c r="B55" s="25"/>
      <c r="C55" s="63">
        <v>4050284</v>
      </c>
      <c r="D55" s="81">
        <v>4431.1404</v>
      </c>
      <c r="E55" s="81">
        <v>4477.0814</v>
      </c>
      <c r="F55" s="20">
        <v>3600</v>
      </c>
      <c r="G55" s="103">
        <f>E55-D55</f>
        <v>45.9409999999998</v>
      </c>
      <c r="H55" s="4"/>
      <c r="I55" s="20">
        <f>ROUND(F55*G55+H55,0)</f>
        <v>165388</v>
      </c>
      <c r="J55" s="24"/>
      <c r="K55" s="24"/>
      <c r="L55" s="24"/>
      <c r="M55" s="24"/>
      <c r="N55" s="24"/>
      <c r="O55" s="24"/>
      <c r="P55" s="24"/>
      <c r="Q55" s="24"/>
      <c r="R55" s="24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24"/>
      <c r="AU55" s="7"/>
      <c r="AV55" s="7"/>
      <c r="AW55" s="7"/>
      <c r="AX55" s="7"/>
      <c r="AY55" s="7"/>
      <c r="AZ55" s="7"/>
      <c r="BA55" s="7"/>
      <c r="BB55" s="7"/>
    </row>
    <row r="56" spans="1:54" ht="12.75">
      <c r="A56" s="9"/>
      <c r="B56" s="14"/>
      <c r="C56" s="63"/>
      <c r="D56" s="81"/>
      <c r="E56" s="81"/>
      <c r="F56" s="20"/>
      <c r="G56" s="103"/>
      <c r="H56" s="4"/>
      <c r="I56" s="20"/>
      <c r="J56" s="24"/>
      <c r="K56" s="24"/>
      <c r="L56" s="24"/>
      <c r="M56" s="24"/>
      <c r="N56" s="24"/>
      <c r="O56" s="24"/>
      <c r="P56" s="24"/>
      <c r="Q56" s="24"/>
      <c r="R56" s="90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24"/>
      <c r="AU56" s="7"/>
      <c r="AV56" s="7"/>
      <c r="AW56" s="7"/>
      <c r="AX56" s="7"/>
      <c r="AY56" s="7"/>
      <c r="AZ56" s="7"/>
      <c r="BA56" s="7"/>
      <c r="BB56" s="7"/>
    </row>
    <row r="57" spans="1:54" ht="12.75">
      <c r="A57" s="34" t="s">
        <v>144</v>
      </c>
      <c r="B57" s="8" t="s">
        <v>110</v>
      </c>
      <c r="C57" s="17"/>
      <c r="D57" s="64"/>
      <c r="E57" s="64"/>
      <c r="F57" s="20"/>
      <c r="G57" s="65"/>
      <c r="H57" s="4"/>
      <c r="I57" s="20"/>
      <c r="J57" s="24"/>
      <c r="K57" s="7"/>
      <c r="L57" s="7"/>
      <c r="M57" s="7"/>
      <c r="N57" s="7"/>
      <c r="O57" s="7"/>
      <c r="P57" s="7"/>
      <c r="Q57" s="7"/>
      <c r="R57" s="91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24"/>
      <c r="AU57" s="7"/>
      <c r="AV57" s="7"/>
      <c r="AW57" s="7"/>
      <c r="AX57" s="7"/>
      <c r="AY57" s="7"/>
      <c r="AZ57" s="7"/>
      <c r="BA57" s="7"/>
      <c r="BB57" s="121"/>
    </row>
    <row r="58" spans="1:54" ht="12.75">
      <c r="A58" s="156"/>
      <c r="B58" s="34" t="s">
        <v>109</v>
      </c>
      <c r="C58" s="154">
        <v>611127492</v>
      </c>
      <c r="D58" s="151">
        <v>21580.008</v>
      </c>
      <c r="E58" s="151">
        <v>22001.1852</v>
      </c>
      <c r="F58" s="20">
        <v>20</v>
      </c>
      <c r="G58" s="102">
        <f>E58-D58</f>
        <v>421.17719999999827</v>
      </c>
      <c r="H58" s="20"/>
      <c r="I58" s="20">
        <f>ROUND(F58*G58+H58,0)</f>
        <v>8424</v>
      </c>
      <c r="J58" s="24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24"/>
      <c r="AU58" s="7"/>
      <c r="AV58" s="7" t="s">
        <v>44</v>
      </c>
      <c r="AW58" s="7"/>
      <c r="AX58" s="7"/>
      <c r="AY58" s="7"/>
      <c r="AZ58" s="7"/>
      <c r="BA58" s="7"/>
      <c r="BB58" s="122">
        <f>BA9</f>
        <v>3.1767100732012237</v>
      </c>
    </row>
    <row r="59" spans="1:54" ht="12.75">
      <c r="A59" s="10" t="s">
        <v>145</v>
      </c>
      <c r="B59" s="8" t="s">
        <v>229</v>
      </c>
      <c r="C59" s="158"/>
      <c r="D59" s="64"/>
      <c r="E59" s="64"/>
      <c r="F59" s="20"/>
      <c r="G59" s="65"/>
      <c r="H59" s="4"/>
      <c r="I59" s="20"/>
      <c r="J59" s="24"/>
      <c r="K59" s="24"/>
      <c r="L59" s="24"/>
      <c r="M59" s="24"/>
      <c r="N59" s="24"/>
      <c r="O59" s="24"/>
      <c r="P59" s="24"/>
      <c r="Q59" s="24"/>
      <c r="R59" s="2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24"/>
      <c r="AU59" s="7"/>
      <c r="AV59" s="7"/>
      <c r="AW59" s="7"/>
      <c r="AX59" s="7"/>
      <c r="AY59" s="7"/>
      <c r="AZ59" s="7"/>
      <c r="BA59" s="7"/>
      <c r="BB59" s="7"/>
    </row>
    <row r="60" spans="1:54" ht="12.75">
      <c r="A60" s="157"/>
      <c r="B60" s="30" t="s">
        <v>274</v>
      </c>
      <c r="C60" s="154">
        <v>611127702</v>
      </c>
      <c r="D60" s="151">
        <v>32644.9676</v>
      </c>
      <c r="E60" s="151">
        <v>32773.7248</v>
      </c>
      <c r="F60" s="20">
        <v>60</v>
      </c>
      <c r="G60" s="102">
        <f>E60-D60</f>
        <v>128.75720000000365</v>
      </c>
      <c r="H60" s="4"/>
      <c r="I60" s="20">
        <f>ROUND(F60*G60+H60,0)</f>
        <v>7725</v>
      </c>
      <c r="J60" s="24"/>
      <c r="K60" s="24"/>
      <c r="L60" s="24"/>
      <c r="M60" s="24"/>
      <c r="N60" s="24"/>
      <c r="O60" s="24"/>
      <c r="P60" s="24"/>
      <c r="Q60" s="24"/>
      <c r="R60" s="2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ht="13.5">
      <c r="A61" s="23"/>
      <c r="B61" s="30" t="s">
        <v>275</v>
      </c>
      <c r="C61" s="154">
        <v>611127555</v>
      </c>
      <c r="D61" s="151">
        <v>12127.8056</v>
      </c>
      <c r="E61" s="151">
        <v>12791.754</v>
      </c>
      <c r="F61" s="20">
        <v>60</v>
      </c>
      <c r="G61" s="102">
        <f>E61-D61</f>
        <v>663.9484000000011</v>
      </c>
      <c r="H61" s="4"/>
      <c r="I61" s="20">
        <f>ROUND(F61*G61+H61,0)</f>
        <v>39837</v>
      </c>
      <c r="J61" s="24"/>
      <c r="K61" s="24"/>
      <c r="L61" s="24"/>
      <c r="M61" s="24"/>
      <c r="N61" s="24"/>
      <c r="O61" s="92"/>
      <c r="P61" s="93"/>
      <c r="Q61" s="24"/>
      <c r="R61" s="2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24"/>
      <c r="AU61" s="24"/>
      <c r="AV61" s="24"/>
      <c r="AW61" s="24"/>
      <c r="AX61" s="24"/>
      <c r="AY61" s="92"/>
      <c r="AZ61" s="93"/>
      <c r="BA61" s="24"/>
      <c r="BB61" s="24"/>
    </row>
    <row r="62" spans="1:54" ht="12.75">
      <c r="A62" s="10" t="s">
        <v>146</v>
      </c>
      <c r="B62" s="8" t="s">
        <v>230</v>
      </c>
      <c r="C62" s="159"/>
      <c r="D62" s="82"/>
      <c r="E62" s="82"/>
      <c r="F62" s="20"/>
      <c r="G62" s="65"/>
      <c r="H62" s="4"/>
      <c r="I62" s="20"/>
      <c r="J62" s="24"/>
      <c r="K62" s="24"/>
      <c r="L62" s="24"/>
      <c r="M62" s="24"/>
      <c r="N62" s="24"/>
      <c r="O62" s="24"/>
      <c r="P62" s="24"/>
      <c r="Q62" s="24"/>
      <c r="R62" s="2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ht="12.75" customHeight="1">
      <c r="A63" s="157"/>
      <c r="B63" s="34"/>
      <c r="C63" s="154">
        <v>1110171163</v>
      </c>
      <c r="D63" s="151">
        <v>1306.4132</v>
      </c>
      <c r="E63" s="151">
        <v>1311.4876</v>
      </c>
      <c r="F63" s="20">
        <v>60</v>
      </c>
      <c r="G63" s="102">
        <f>E63-D63</f>
        <v>5.074399999999969</v>
      </c>
      <c r="H63" s="4"/>
      <c r="I63" s="20">
        <f>ROUND(F63*G63+H63,0)</f>
        <v>304</v>
      </c>
      <c r="J63" s="93"/>
      <c r="K63" s="24"/>
      <c r="L63" s="24"/>
      <c r="M63" s="24"/>
      <c r="N63" s="24"/>
      <c r="O63" s="24"/>
      <c r="P63" s="44"/>
      <c r="Q63" s="24"/>
      <c r="R63" s="94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93"/>
      <c r="AU63" s="24"/>
      <c r="AV63" s="24"/>
      <c r="AW63" s="24"/>
      <c r="AX63" s="24"/>
      <c r="AY63" s="24"/>
      <c r="AZ63" s="44"/>
      <c r="BA63" s="24"/>
      <c r="BB63" s="94"/>
    </row>
    <row r="64" spans="1:54" ht="12.75">
      <c r="A64" s="23"/>
      <c r="B64" s="34"/>
      <c r="C64" s="154"/>
      <c r="D64" s="151"/>
      <c r="E64" s="151"/>
      <c r="F64" s="20"/>
      <c r="G64" s="102"/>
      <c r="H64" s="4"/>
      <c r="I64" s="20"/>
      <c r="J64" s="93"/>
      <c r="K64" s="24"/>
      <c r="L64" s="24"/>
      <c r="M64" s="24"/>
      <c r="N64" s="24"/>
      <c r="O64" s="24"/>
      <c r="P64" s="44"/>
      <c r="Q64" s="24"/>
      <c r="R64" s="9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93"/>
      <c r="AU64" s="24"/>
      <c r="AV64" s="24"/>
      <c r="AW64" s="24"/>
      <c r="AX64" s="24"/>
      <c r="AY64" s="24"/>
      <c r="AZ64" s="44"/>
      <c r="BA64" s="24"/>
      <c r="BB64" s="94"/>
    </row>
    <row r="65" spans="1:54" ht="12.75">
      <c r="A65" s="10" t="s">
        <v>147</v>
      </c>
      <c r="B65" s="8" t="s">
        <v>231</v>
      </c>
      <c r="C65" s="160"/>
      <c r="D65" s="82"/>
      <c r="E65" s="82"/>
      <c r="F65" s="20"/>
      <c r="G65" s="65"/>
      <c r="H65" s="4"/>
      <c r="I65" s="20"/>
      <c r="J65" s="93"/>
      <c r="K65" s="24"/>
      <c r="L65" s="24"/>
      <c r="M65" s="24"/>
      <c r="N65" s="24"/>
      <c r="O65" s="24"/>
      <c r="P65" s="44"/>
      <c r="Q65" s="24"/>
      <c r="R65" s="94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93"/>
      <c r="AU65" s="24"/>
      <c r="AV65" s="24"/>
      <c r="AW65" s="24"/>
      <c r="AX65" s="24"/>
      <c r="AY65" s="24"/>
      <c r="AZ65" s="44"/>
      <c r="BA65" s="24"/>
      <c r="BB65" s="94"/>
    </row>
    <row r="66" spans="1:54" ht="12.75">
      <c r="A66" s="23"/>
      <c r="B66" s="34"/>
      <c r="C66" s="154">
        <v>1110171170</v>
      </c>
      <c r="D66" s="151">
        <v>197.9768</v>
      </c>
      <c r="E66" s="151">
        <v>204.032</v>
      </c>
      <c r="F66" s="20">
        <v>40</v>
      </c>
      <c r="G66" s="102">
        <f>E66-D66</f>
        <v>6.0552000000000135</v>
      </c>
      <c r="H66" s="20"/>
      <c r="I66" s="20">
        <f>ROUND(F66*G66+H66,0)</f>
        <v>242</v>
      </c>
      <c r="J66" s="93"/>
      <c r="K66" s="24"/>
      <c r="L66" s="24"/>
      <c r="M66" s="24"/>
      <c r="N66" s="24"/>
      <c r="O66" s="24"/>
      <c r="P66" s="44"/>
      <c r="Q66" s="24"/>
      <c r="R66" s="9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93"/>
      <c r="AU66" s="24"/>
      <c r="AV66" s="24"/>
      <c r="AW66" s="24"/>
      <c r="AX66" s="24"/>
      <c r="AY66" s="24"/>
      <c r="AZ66" s="44"/>
      <c r="BA66" s="24"/>
      <c r="BB66" s="94"/>
    </row>
    <row r="67" spans="1:54" ht="12.75">
      <c r="A67" s="23"/>
      <c r="B67" s="34"/>
      <c r="C67" s="154"/>
      <c r="D67" s="151"/>
      <c r="E67" s="151"/>
      <c r="F67" s="20"/>
      <c r="G67" s="102"/>
      <c r="H67" s="20"/>
      <c r="I67" s="20"/>
      <c r="J67" s="24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ht="12.75">
      <c r="A68" s="10" t="s">
        <v>148</v>
      </c>
      <c r="B68" s="8" t="s">
        <v>276</v>
      </c>
      <c r="C68" s="154">
        <v>611126342</v>
      </c>
      <c r="D68" s="151">
        <v>25782.5391</v>
      </c>
      <c r="E68" s="151">
        <v>25782.5391</v>
      </c>
      <c r="F68" s="20">
        <v>1800</v>
      </c>
      <c r="G68" s="102">
        <f>E68-D68</f>
        <v>0</v>
      </c>
      <c r="H68" s="20"/>
      <c r="I68" s="20">
        <f>ROUND(F68*G68+H68,0)</f>
        <v>0</v>
      </c>
      <c r="J68" s="24"/>
      <c r="K68" s="24"/>
      <c r="L68" s="24"/>
      <c r="M68" s="24"/>
      <c r="N68" s="24"/>
      <c r="O68" s="24"/>
      <c r="P68" s="24"/>
      <c r="Q68" s="24"/>
      <c r="R68" s="2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24"/>
      <c r="AU68" s="24"/>
      <c r="AV68" s="24"/>
      <c r="AW68" s="24"/>
      <c r="AX68" s="24"/>
      <c r="AY68" s="24"/>
      <c r="AZ68" s="24"/>
      <c r="BA68" s="24"/>
      <c r="BB68" s="24"/>
    </row>
    <row r="69" spans="1:54" ht="13.5">
      <c r="A69" s="23"/>
      <c r="B69" s="34" t="s">
        <v>277</v>
      </c>
      <c r="C69" s="154">
        <v>611126404</v>
      </c>
      <c r="D69" s="151">
        <v>606.0406</v>
      </c>
      <c r="E69" s="151">
        <v>613.8931</v>
      </c>
      <c r="F69" s="20">
        <v>1800</v>
      </c>
      <c r="G69" s="102">
        <f>E69-D69</f>
        <v>7.852499999999964</v>
      </c>
      <c r="H69" s="20"/>
      <c r="I69" s="20">
        <f>ROUND((F69*G69+H69),0)</f>
        <v>14134</v>
      </c>
      <c r="J69" s="24"/>
      <c r="K69" s="24"/>
      <c r="L69" s="24"/>
      <c r="M69" s="24"/>
      <c r="N69" s="24"/>
      <c r="O69" s="92"/>
      <c r="P69" s="93"/>
      <c r="Q69" s="24"/>
      <c r="R69" s="2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24"/>
      <c r="AU69" s="24"/>
      <c r="AV69" s="24"/>
      <c r="AW69" s="24"/>
      <c r="AX69" s="24"/>
      <c r="AY69" s="92"/>
      <c r="AZ69" s="93"/>
      <c r="BA69" s="24"/>
      <c r="BB69" s="24"/>
    </row>
    <row r="70" spans="1:54" ht="12.75">
      <c r="A70" s="6"/>
      <c r="B70" s="9" t="s">
        <v>240</v>
      </c>
      <c r="C70" s="154">
        <v>611126334</v>
      </c>
      <c r="D70" s="151">
        <v>2.3724</v>
      </c>
      <c r="E70" s="151">
        <v>2.3724</v>
      </c>
      <c r="F70" s="20">
        <v>1800</v>
      </c>
      <c r="G70" s="102">
        <f>E70-D70</f>
        <v>0</v>
      </c>
      <c r="H70" s="4"/>
      <c r="I70" s="20">
        <f>ROUND(F70*G70+H70,0)</f>
        <v>0</v>
      </c>
      <c r="J70" s="24"/>
      <c r="K70" s="24"/>
      <c r="L70" s="24"/>
      <c r="M70" s="24"/>
      <c r="N70" s="24"/>
      <c r="O70" s="24"/>
      <c r="P70" s="24"/>
      <c r="Q70" s="24"/>
      <c r="R70" s="24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24"/>
      <c r="AU70" s="24"/>
      <c r="AV70" s="24"/>
      <c r="AW70" s="24"/>
      <c r="AX70" s="24"/>
      <c r="AY70" s="24"/>
      <c r="AZ70" s="24"/>
      <c r="BA70" s="24"/>
      <c r="BB70" s="24"/>
    </row>
    <row r="71" spans="1:54" ht="12.75">
      <c r="A71" s="23" t="s">
        <v>226</v>
      </c>
      <c r="B71" s="34" t="s">
        <v>232</v>
      </c>
      <c r="C71" s="154">
        <v>611127724</v>
      </c>
      <c r="D71" s="151">
        <v>1990.9516</v>
      </c>
      <c r="E71" s="151">
        <v>2024.2372</v>
      </c>
      <c r="F71" s="20">
        <v>30</v>
      </c>
      <c r="G71" s="102">
        <f>E71-D71</f>
        <v>33.28559999999993</v>
      </c>
      <c r="H71" s="20"/>
      <c r="I71" s="20">
        <f>ROUND(F71*G71+H71,0)</f>
        <v>999</v>
      </c>
      <c r="J71" s="93"/>
      <c r="K71" s="24"/>
      <c r="L71" s="24"/>
      <c r="M71" s="24"/>
      <c r="N71" s="24"/>
      <c r="O71" s="24"/>
      <c r="P71" s="44"/>
      <c r="Q71" s="24"/>
      <c r="R71" s="9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93"/>
      <c r="AU71" s="24"/>
      <c r="AV71" s="24"/>
      <c r="AW71" s="24"/>
      <c r="AX71" s="24"/>
      <c r="AY71" s="24"/>
      <c r="AZ71" s="44"/>
      <c r="BA71" s="24"/>
      <c r="BB71" s="94"/>
    </row>
    <row r="72" spans="1:54" ht="12.75">
      <c r="A72" s="6"/>
      <c r="B72" s="34" t="s">
        <v>270</v>
      </c>
      <c r="C72" s="154"/>
      <c r="D72" s="155"/>
      <c r="E72" s="155"/>
      <c r="F72" s="20"/>
      <c r="G72" s="65"/>
      <c r="H72" s="20"/>
      <c r="I72" s="20"/>
      <c r="J72" s="93"/>
      <c r="K72" s="24"/>
      <c r="L72" s="24"/>
      <c r="M72" s="24"/>
      <c r="N72" s="24"/>
      <c r="O72" s="24"/>
      <c r="P72" s="44"/>
      <c r="Q72" s="24"/>
      <c r="R72" s="94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93"/>
      <c r="AU72" s="24"/>
      <c r="AV72" s="24"/>
      <c r="AW72" s="24"/>
      <c r="AX72" s="24"/>
      <c r="AY72" s="24"/>
      <c r="AZ72" s="44"/>
      <c r="BA72" s="24"/>
      <c r="BB72" s="94"/>
    </row>
    <row r="73" spans="1:54" ht="12.75">
      <c r="A73" s="4"/>
      <c r="B73" s="161"/>
      <c r="C73" s="33"/>
      <c r="D73" s="65"/>
      <c r="E73" s="65"/>
      <c r="F73" s="20"/>
      <c r="G73" s="65"/>
      <c r="H73" s="20"/>
      <c r="I73" s="20"/>
      <c r="J73" s="93"/>
      <c r="K73" s="24"/>
      <c r="L73" s="24"/>
      <c r="M73" s="24"/>
      <c r="N73" s="24"/>
      <c r="O73" s="24"/>
      <c r="P73" s="44"/>
      <c r="Q73" s="24"/>
      <c r="R73" s="9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93"/>
      <c r="AU73" s="24"/>
      <c r="AV73" s="24"/>
      <c r="AW73" s="24"/>
      <c r="AX73" s="24"/>
      <c r="AY73" s="24"/>
      <c r="AZ73" s="44"/>
      <c r="BA73" s="24"/>
      <c r="BB73" s="94"/>
    </row>
    <row r="74" spans="1:54" ht="12.75">
      <c r="A74" s="6"/>
      <c r="B74" s="13"/>
      <c r="C74" s="15"/>
      <c r="D74" s="15"/>
      <c r="E74" s="15"/>
      <c r="F74" s="15" t="s">
        <v>149</v>
      </c>
      <c r="G74" s="15"/>
      <c r="H74" s="16"/>
      <c r="I74" s="85">
        <f>ROUND((SUM(I50:I69)-I73),0)</f>
        <v>270208</v>
      </c>
      <c r="J74" s="93"/>
      <c r="K74" s="24"/>
      <c r="L74" s="24"/>
      <c r="M74" s="24"/>
      <c r="N74" s="24"/>
      <c r="O74" s="24"/>
      <c r="P74" s="44"/>
      <c r="Q74" s="24"/>
      <c r="R74" s="94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93"/>
      <c r="AU74" s="24"/>
      <c r="AV74" s="24"/>
      <c r="AW74" s="24"/>
      <c r="AX74" s="24"/>
      <c r="AY74" s="24"/>
      <c r="AZ74" s="44"/>
      <c r="BA74" s="24"/>
      <c r="BB74" s="94"/>
    </row>
    <row r="75" spans="1:54" ht="12.75">
      <c r="A75" s="5"/>
      <c r="B75" s="15"/>
      <c r="C75" s="15"/>
      <c r="D75" s="15"/>
      <c r="E75" s="15"/>
      <c r="F75" s="15"/>
      <c r="G75" s="15" t="s">
        <v>150</v>
      </c>
      <c r="H75" s="16"/>
      <c r="I75" s="85">
        <f>ROUND((I18+I20-I47-I74),0)</f>
        <v>5699670</v>
      </c>
      <c r="J75" s="24"/>
      <c r="K75" s="24">
        <f>I18+I20+I22-I47-I74</f>
        <v>5785158</v>
      </c>
      <c r="L75" s="24"/>
      <c r="M75" s="24"/>
      <c r="N75" s="24"/>
      <c r="O75" s="24"/>
      <c r="P75" s="45"/>
      <c r="Q75" s="24"/>
      <c r="R75" s="90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24"/>
      <c r="AU75" s="24"/>
      <c r="AV75" s="24"/>
      <c r="AW75" s="24"/>
      <c r="AX75" s="24"/>
      <c r="AY75" s="24"/>
      <c r="AZ75" s="45"/>
      <c r="BA75" s="24"/>
      <c r="BB75" s="90"/>
    </row>
    <row r="76" spans="1:54" ht="12.75">
      <c r="A76" s="4" t="s">
        <v>157</v>
      </c>
      <c r="B76" s="5" t="s">
        <v>151</v>
      </c>
      <c r="C76" s="15"/>
      <c r="D76" s="15"/>
      <c r="E76" s="15"/>
      <c r="F76" s="15"/>
      <c r="G76" s="15"/>
      <c r="H76" s="15"/>
      <c r="I76" s="16"/>
      <c r="J76" s="24"/>
      <c r="K76" s="24"/>
      <c r="L76" s="24"/>
      <c r="M76" s="24"/>
      <c r="N76" s="24"/>
      <c r="O76" s="24"/>
      <c r="P76" s="45"/>
      <c r="Q76" s="24"/>
      <c r="R76" s="90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24"/>
      <c r="AU76" s="24"/>
      <c r="AV76" s="24"/>
      <c r="AW76" s="24"/>
      <c r="AX76" s="24"/>
      <c r="AY76" s="24"/>
      <c r="AZ76" s="45"/>
      <c r="BA76" s="24"/>
      <c r="BB76" s="90"/>
    </row>
    <row r="77" spans="1:54" ht="12.75">
      <c r="A77" s="8" t="s">
        <v>155</v>
      </c>
      <c r="B77" s="8" t="s">
        <v>152</v>
      </c>
      <c r="C77" s="33">
        <v>18705639</v>
      </c>
      <c r="D77" s="84">
        <v>19294</v>
      </c>
      <c r="E77" s="84">
        <v>19477</v>
      </c>
      <c r="F77" s="35">
        <v>30</v>
      </c>
      <c r="G77" s="171">
        <f>E77-D77</f>
        <v>183</v>
      </c>
      <c r="H77" s="8">
        <v>1302</v>
      </c>
      <c r="I77" s="35">
        <f>F77*G77+H77</f>
        <v>6792</v>
      </c>
      <c r="J77" s="24"/>
      <c r="K77" s="24"/>
      <c r="L77" s="24"/>
      <c r="M77" s="24"/>
      <c r="N77" s="24"/>
      <c r="O77" s="24"/>
      <c r="P77" s="45"/>
      <c r="Q77" s="24"/>
      <c r="R77" s="90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24"/>
      <c r="AU77" s="24"/>
      <c r="AV77" s="24"/>
      <c r="AW77" s="24"/>
      <c r="AX77" s="24"/>
      <c r="AY77" s="24"/>
      <c r="AZ77" s="45"/>
      <c r="BA77" s="24"/>
      <c r="BB77" s="90"/>
    </row>
    <row r="78" spans="1:54" ht="12.75">
      <c r="A78" s="9"/>
      <c r="B78" s="9" t="s">
        <v>153</v>
      </c>
      <c r="C78" s="31"/>
      <c r="D78" s="9"/>
      <c r="E78" s="9"/>
      <c r="F78" s="28"/>
      <c r="G78" s="9"/>
      <c r="H78" s="9"/>
      <c r="I78" s="9"/>
      <c r="J78" s="24"/>
      <c r="K78" s="24"/>
      <c r="L78" s="24"/>
      <c r="M78" s="24"/>
      <c r="N78" s="24"/>
      <c r="O78" s="24"/>
      <c r="P78" s="45"/>
      <c r="Q78" s="24"/>
      <c r="R78" s="90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24"/>
      <c r="AU78" s="24"/>
      <c r="AV78" s="24"/>
      <c r="AW78" s="24"/>
      <c r="AX78" s="24"/>
      <c r="AY78" s="24"/>
      <c r="AZ78" s="45"/>
      <c r="BA78" s="24"/>
      <c r="BB78" s="90"/>
    </row>
    <row r="79" spans="1:54" ht="12.75">
      <c r="A79" s="8" t="s">
        <v>156</v>
      </c>
      <c r="B79" s="8" t="s">
        <v>154</v>
      </c>
      <c r="C79" s="33">
        <v>18705843</v>
      </c>
      <c r="D79" s="84">
        <v>1070.8</v>
      </c>
      <c r="E79" s="84">
        <v>1070.8</v>
      </c>
      <c r="F79" s="35">
        <v>30</v>
      </c>
      <c r="G79" s="83">
        <f>E79-D79</f>
        <v>0</v>
      </c>
      <c r="H79" s="8">
        <v>0</v>
      </c>
      <c r="I79" s="35">
        <f>F79*G79+H79</f>
        <v>0</v>
      </c>
      <c r="J79" s="24"/>
      <c r="K79" s="24"/>
      <c r="L79" s="24"/>
      <c r="M79" s="24"/>
      <c r="N79" s="24"/>
      <c r="O79" s="24"/>
      <c r="P79" s="45"/>
      <c r="Q79" s="24"/>
      <c r="R79" s="90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24"/>
      <c r="AU79" s="24"/>
      <c r="AV79" s="24"/>
      <c r="AW79" s="24"/>
      <c r="AX79" s="24"/>
      <c r="AY79" s="24"/>
      <c r="AZ79" s="45"/>
      <c r="BA79" s="24"/>
      <c r="BB79" s="90"/>
    </row>
    <row r="80" spans="1:54" ht="12.75">
      <c r="A80" s="9"/>
      <c r="B80" s="9" t="s">
        <v>153</v>
      </c>
      <c r="C80" s="31"/>
      <c r="D80" s="9"/>
      <c r="E80" s="9"/>
      <c r="F80" s="28"/>
      <c r="G80" s="9"/>
      <c r="H80" s="9"/>
      <c r="I80" s="9"/>
      <c r="J80" s="24"/>
      <c r="K80" s="24"/>
      <c r="L80" s="24"/>
      <c r="M80" s="24"/>
      <c r="N80" s="24"/>
      <c r="O80" s="24"/>
      <c r="P80" s="45"/>
      <c r="Q80" s="24"/>
      <c r="R80" s="90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24"/>
      <c r="AU80" s="24"/>
      <c r="AV80" s="24"/>
      <c r="AW80" s="24"/>
      <c r="AX80" s="24"/>
      <c r="AY80" s="24"/>
      <c r="AZ80" s="45"/>
      <c r="BA80" s="24"/>
      <c r="BB80" s="90"/>
    </row>
    <row r="81" spans="1:54" ht="12.75">
      <c r="A81" s="5"/>
      <c r="B81" s="15"/>
      <c r="C81" s="69"/>
      <c r="D81" s="52"/>
      <c r="E81" s="70"/>
      <c r="F81" s="70" t="s">
        <v>158</v>
      </c>
      <c r="G81" s="71"/>
      <c r="H81" s="16"/>
      <c r="I81" s="20">
        <f>I77+I79</f>
        <v>6792</v>
      </c>
      <c r="J81" s="93"/>
      <c r="K81" s="24"/>
      <c r="L81" s="24"/>
      <c r="M81" s="24"/>
      <c r="N81" s="24"/>
      <c r="O81" s="24"/>
      <c r="P81" s="44"/>
      <c r="Q81" s="24"/>
      <c r="R81" s="94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93"/>
      <c r="AU81" s="24"/>
      <c r="AV81" s="24"/>
      <c r="AW81" s="24"/>
      <c r="AX81" s="24"/>
      <c r="AY81" s="24"/>
      <c r="AZ81" s="44"/>
      <c r="BA81" s="24"/>
      <c r="BB81" s="94"/>
    </row>
    <row r="82" spans="1:54" ht="12.75">
      <c r="A82" s="5"/>
      <c r="B82" s="15"/>
      <c r="C82" s="69"/>
      <c r="D82" s="52"/>
      <c r="E82" s="70"/>
      <c r="F82" s="70"/>
      <c r="G82" s="71" t="s">
        <v>159</v>
      </c>
      <c r="H82" s="16"/>
      <c r="I82" s="85">
        <f>I75+I81</f>
        <v>5706462</v>
      </c>
      <c r="J82" s="24"/>
      <c r="K82" s="24"/>
      <c r="L82" s="24"/>
      <c r="M82" s="24"/>
      <c r="N82" s="24"/>
      <c r="O82" s="24"/>
      <c r="P82" s="45"/>
      <c r="Q82" s="24"/>
      <c r="R82" s="90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24"/>
      <c r="AU82" s="24"/>
      <c r="AV82" s="24"/>
      <c r="AW82" s="24"/>
      <c r="AX82" s="24"/>
      <c r="AY82" s="24"/>
      <c r="AZ82" s="45"/>
      <c r="BA82" s="24"/>
      <c r="BB82" s="90"/>
    </row>
    <row r="83" spans="1:54" ht="12.75">
      <c r="A83" s="10" t="s">
        <v>160</v>
      </c>
      <c r="B83" s="11"/>
      <c r="C83" s="72"/>
      <c r="D83" s="55"/>
      <c r="E83" s="73"/>
      <c r="F83" s="73"/>
      <c r="G83" s="57"/>
      <c r="H83" s="11"/>
      <c r="I83" s="58"/>
      <c r="J83" s="24"/>
      <c r="K83" s="24"/>
      <c r="L83" s="24"/>
      <c r="M83" s="24"/>
      <c r="N83" s="24"/>
      <c r="O83" s="24"/>
      <c r="P83" s="45"/>
      <c r="Q83" s="24"/>
      <c r="R83" s="90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24"/>
      <c r="AU83" s="24"/>
      <c r="AV83" s="24"/>
      <c r="AW83" s="24"/>
      <c r="AX83" s="24"/>
      <c r="AY83" s="24"/>
      <c r="AZ83" s="45"/>
      <c r="BA83" s="24"/>
      <c r="BB83" s="90"/>
    </row>
    <row r="84" spans="1:54" ht="12.75">
      <c r="A84" s="74" t="s">
        <v>282</v>
      </c>
      <c r="B84" s="75"/>
      <c r="C84" s="75"/>
      <c r="D84" s="46"/>
      <c r="E84" s="13"/>
      <c r="F84" s="13"/>
      <c r="G84" s="13"/>
      <c r="H84" s="13"/>
      <c r="I84" s="62"/>
      <c r="J84" s="24"/>
      <c r="K84" s="24"/>
      <c r="L84" s="24"/>
      <c r="M84" s="24"/>
      <c r="N84" s="24"/>
      <c r="O84" s="24"/>
      <c r="P84" s="45"/>
      <c r="Q84" s="24"/>
      <c r="R84" s="90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24"/>
      <c r="AU84" s="24"/>
      <c r="AV84" s="24"/>
      <c r="AW84" s="24"/>
      <c r="AX84" s="24"/>
      <c r="AY84" s="24"/>
      <c r="AZ84" s="45"/>
      <c r="BA84" s="24"/>
      <c r="BB84" s="90"/>
    </row>
    <row r="85" spans="1:54" ht="12.75">
      <c r="A85" s="24" t="s">
        <v>163</v>
      </c>
      <c r="B85" s="24"/>
      <c r="C85" s="114"/>
      <c r="D85" s="38"/>
      <c r="E85" s="115"/>
      <c r="F85" s="115"/>
      <c r="G85" s="43"/>
      <c r="H85" s="24"/>
      <c r="I85" s="45"/>
      <c r="J85" s="24"/>
      <c r="K85" s="24"/>
      <c r="L85" s="24"/>
      <c r="M85" s="24"/>
      <c r="N85" s="24"/>
      <c r="O85" s="24"/>
      <c r="P85" s="45"/>
      <c r="Q85" s="24"/>
      <c r="R85" s="90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24"/>
      <c r="AU85" s="24"/>
      <c r="AV85" s="24"/>
      <c r="AW85" s="24"/>
      <c r="AX85" s="24"/>
      <c r="AY85" s="24"/>
      <c r="AZ85" s="45"/>
      <c r="BA85" s="24"/>
      <c r="BB85" s="90"/>
    </row>
    <row r="86" spans="1:54" ht="12.75">
      <c r="A86" s="24"/>
      <c r="B86" s="24"/>
      <c r="C86" s="38"/>
      <c r="D86" s="162" t="s">
        <v>164</v>
      </c>
      <c r="E86" s="162"/>
      <c r="F86" s="163"/>
      <c r="G86" s="93"/>
      <c r="H86" s="93"/>
      <c r="I86" s="44"/>
      <c r="J86" s="24"/>
      <c r="K86" s="24"/>
      <c r="L86" s="43"/>
      <c r="M86" s="43"/>
      <c r="N86" s="24"/>
      <c r="O86" s="24"/>
      <c r="P86" s="45"/>
      <c r="Q86" s="24"/>
      <c r="R86" s="90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24"/>
      <c r="AU86" s="24"/>
      <c r="AV86" s="43"/>
      <c r="AW86" s="43"/>
      <c r="AX86" s="24"/>
      <c r="AY86" s="24"/>
      <c r="AZ86" s="45"/>
      <c r="BA86" s="24"/>
      <c r="BB86" s="90"/>
    </row>
    <row r="87" spans="1:54" ht="12.75">
      <c r="A87" s="24"/>
      <c r="B87" s="24"/>
      <c r="C87" s="38"/>
      <c r="D87" s="162" t="s">
        <v>261</v>
      </c>
      <c r="E87" s="162"/>
      <c r="F87" s="163"/>
      <c r="G87" s="93"/>
      <c r="H87" s="93"/>
      <c r="I87" s="44"/>
      <c r="J87" s="93"/>
      <c r="K87" s="24"/>
      <c r="L87" s="24"/>
      <c r="M87" s="24"/>
      <c r="N87" s="24"/>
      <c r="O87" s="24"/>
      <c r="P87" s="44"/>
      <c r="Q87" s="24"/>
      <c r="R87" s="94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93"/>
      <c r="AU87" s="24"/>
      <c r="AV87" s="24"/>
      <c r="AW87" s="24"/>
      <c r="AX87" s="24"/>
      <c r="AY87" s="24"/>
      <c r="AZ87" s="44"/>
      <c r="BA87" s="24"/>
      <c r="BB87" s="94"/>
    </row>
    <row r="88" spans="1:54" ht="12.75">
      <c r="A88" s="24"/>
      <c r="B88" s="24"/>
      <c r="C88" s="114"/>
      <c r="D88" s="162" t="s">
        <v>283</v>
      </c>
      <c r="E88" s="162"/>
      <c r="F88" s="163"/>
      <c r="G88" s="93"/>
      <c r="H88" s="93"/>
      <c r="I88" s="44"/>
      <c r="J88" s="24"/>
      <c r="K88" s="24"/>
      <c r="L88" s="24"/>
      <c r="M88" s="24"/>
      <c r="N88" s="24"/>
      <c r="O88" s="24"/>
      <c r="P88" s="45"/>
      <c r="Q88" s="24"/>
      <c r="R88" s="90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24"/>
      <c r="AU88" s="24"/>
      <c r="AV88" s="24"/>
      <c r="AW88" s="24"/>
      <c r="AX88" s="24"/>
      <c r="AY88" s="24"/>
      <c r="AZ88" s="45"/>
      <c r="BA88" s="24"/>
      <c r="BB88" s="90"/>
    </row>
    <row r="89" spans="1:54" ht="12.75">
      <c r="A89" s="7"/>
      <c r="B89" s="7"/>
      <c r="C89" s="7"/>
      <c r="D89" s="7" t="s">
        <v>85</v>
      </c>
      <c r="E89" s="7"/>
      <c r="F89" s="7"/>
      <c r="G89" s="7"/>
      <c r="H89" s="7"/>
      <c r="I89" s="7"/>
      <c r="J89" s="24"/>
      <c r="K89" s="24"/>
      <c r="L89" s="24"/>
      <c r="M89" s="24"/>
      <c r="N89" s="24"/>
      <c r="O89" s="24"/>
      <c r="P89" s="45"/>
      <c r="Q89" s="24"/>
      <c r="R89" s="90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24" t="s">
        <v>260</v>
      </c>
      <c r="AU89" s="7"/>
      <c r="AV89" s="7"/>
      <c r="AW89" s="7"/>
      <c r="AX89" s="7"/>
      <c r="AY89" s="7"/>
      <c r="AZ89" s="7"/>
      <c r="BA89" s="7"/>
      <c r="BB89" s="7"/>
    </row>
    <row r="90" spans="1:54" ht="12.75">
      <c r="A90" s="7"/>
      <c r="B90" s="7"/>
      <c r="C90" s="7"/>
      <c r="D90" s="7" t="s">
        <v>86</v>
      </c>
      <c r="E90" s="7"/>
      <c r="F90" s="7"/>
      <c r="G90" s="7"/>
      <c r="H90" s="7"/>
      <c r="I90" s="7"/>
      <c r="J90" s="93"/>
      <c r="K90" s="24"/>
      <c r="L90" s="24"/>
      <c r="M90" s="24"/>
      <c r="N90" s="24"/>
      <c r="O90" s="24"/>
      <c r="P90" s="44"/>
      <c r="Q90" s="24"/>
      <c r="R90" s="94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24" t="s">
        <v>265</v>
      </c>
      <c r="AU90" s="7"/>
      <c r="AV90" s="7"/>
      <c r="AW90" s="7"/>
      <c r="AX90" s="7"/>
      <c r="AY90" s="7"/>
      <c r="AZ90" s="7"/>
      <c r="BA90" s="7"/>
      <c r="BB90" s="7"/>
    </row>
    <row r="91" spans="1:54" ht="13.5">
      <c r="A91" s="7"/>
      <c r="B91" s="7"/>
      <c r="C91" s="7"/>
      <c r="D91" s="7"/>
      <c r="E91" s="7"/>
      <c r="F91" s="7"/>
      <c r="G91" s="7"/>
      <c r="H91" s="7"/>
      <c r="I91" s="7"/>
      <c r="J91" s="93"/>
      <c r="K91" s="24"/>
      <c r="L91" s="24"/>
      <c r="M91" s="24"/>
      <c r="N91" s="24"/>
      <c r="O91" s="24"/>
      <c r="P91" s="44"/>
      <c r="Q91" s="24"/>
      <c r="R91" s="94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24"/>
      <c r="AU91" s="7" t="s">
        <v>1</v>
      </c>
      <c r="AV91" s="7"/>
      <c r="AW91" s="7"/>
      <c r="AX91" s="7"/>
      <c r="AY91" s="104" t="s">
        <v>227</v>
      </c>
      <c r="AZ91" s="49" t="s">
        <v>287</v>
      </c>
      <c r="BA91" s="7"/>
      <c r="BB91" s="7"/>
    </row>
    <row r="92" spans="1:54" ht="12.75">
      <c r="A92" s="7"/>
      <c r="B92" s="7"/>
      <c r="C92" s="7" t="s">
        <v>87</v>
      </c>
      <c r="D92" s="7"/>
      <c r="E92" s="7"/>
      <c r="F92" s="7"/>
      <c r="G92" s="7"/>
      <c r="H92" s="7"/>
      <c r="I92" s="7"/>
      <c r="J92" s="93"/>
      <c r="K92" s="24"/>
      <c r="L92" s="24"/>
      <c r="M92" s="24"/>
      <c r="N92" s="24"/>
      <c r="O92" s="24"/>
      <c r="P92" s="44"/>
      <c r="Q92" s="24"/>
      <c r="R92" s="94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15" t="s">
        <v>22</v>
      </c>
      <c r="AU92" s="15"/>
      <c r="AV92" s="15"/>
      <c r="AW92" s="15"/>
      <c r="AX92" s="15"/>
      <c r="AY92" s="16"/>
      <c r="AZ92" s="4" t="s">
        <v>70</v>
      </c>
      <c r="BA92" s="4"/>
      <c r="BB92" s="4" t="s">
        <v>23</v>
      </c>
    </row>
    <row r="93" spans="1:54" ht="12.75">
      <c r="A93" s="7"/>
      <c r="B93" s="7"/>
      <c r="C93" s="7"/>
      <c r="D93" s="127" t="s">
        <v>281</v>
      </c>
      <c r="E93" s="127"/>
      <c r="F93" s="7"/>
      <c r="G93" s="7"/>
      <c r="H93" s="7"/>
      <c r="I93" s="7"/>
      <c r="J93" s="93"/>
      <c r="K93" s="24"/>
      <c r="L93" s="24"/>
      <c r="M93" s="24"/>
      <c r="N93" s="24"/>
      <c r="O93" s="24"/>
      <c r="P93" s="44"/>
      <c r="Q93" s="24"/>
      <c r="R93" s="94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123" t="s">
        <v>177</v>
      </c>
      <c r="AU93" s="15"/>
      <c r="AV93" s="15"/>
      <c r="AW93" s="15"/>
      <c r="AX93" s="15"/>
      <c r="AY93" s="16"/>
      <c r="AZ93" s="85">
        <v>68915</v>
      </c>
      <c r="BA93" s="52"/>
      <c r="BB93" s="148">
        <f>AZ93*BB58</f>
        <v>218922.97469466232</v>
      </c>
    </row>
    <row r="94" spans="1:54" ht="12.75">
      <c r="A94" s="7" t="s">
        <v>258</v>
      </c>
      <c r="B94" s="7"/>
      <c r="C94" s="7"/>
      <c r="D94" s="7"/>
      <c r="E94" s="7"/>
      <c r="F94" s="7"/>
      <c r="G94" s="7"/>
      <c r="H94" s="7"/>
      <c r="I94" s="7"/>
      <c r="J94" s="93"/>
      <c r="K94" s="24"/>
      <c r="L94" s="24"/>
      <c r="M94" s="24"/>
      <c r="N94" s="24"/>
      <c r="O94" s="24"/>
      <c r="P94" s="44"/>
      <c r="Q94" s="24"/>
      <c r="R94" s="94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123" t="s">
        <v>176</v>
      </c>
      <c r="AU94" s="15"/>
      <c r="AV94" s="15"/>
      <c r="AW94" s="15"/>
      <c r="AX94" s="15"/>
      <c r="AY94" s="16"/>
      <c r="AZ94" s="85">
        <f>AZ131-SUM(AZ112:AZ120)-AZ109-AZ103-AZ96-AZ95-AZ93</f>
        <v>4139366</v>
      </c>
      <c r="BA94" s="52"/>
      <c r="BB94" s="148">
        <f>AZ94*BB58</f>
        <v>13149565.668866657</v>
      </c>
    </row>
    <row r="95" spans="1:54" ht="12.75">
      <c r="A95" s="7" t="s">
        <v>88</v>
      </c>
      <c r="B95" s="7"/>
      <c r="C95" s="7"/>
      <c r="D95" s="7"/>
      <c r="E95" s="7"/>
      <c r="F95" s="7"/>
      <c r="G95" s="7"/>
      <c r="H95" s="7"/>
      <c r="I95" s="7"/>
      <c r="J95" s="93"/>
      <c r="K95" s="93"/>
      <c r="L95" s="24"/>
      <c r="M95" s="24"/>
      <c r="N95" s="24"/>
      <c r="O95" s="24"/>
      <c r="P95" s="44"/>
      <c r="Q95" s="24"/>
      <c r="R95" s="94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123" t="s">
        <v>267</v>
      </c>
      <c r="AU95" s="15"/>
      <c r="AV95" s="15"/>
      <c r="AW95" s="15"/>
      <c r="AX95" s="15"/>
      <c r="AY95" s="16"/>
      <c r="AZ95" s="85">
        <v>69896</v>
      </c>
      <c r="BA95" s="52"/>
      <c r="BB95" s="148">
        <f>AZ95*BB58</f>
        <v>222039.32727647273</v>
      </c>
    </row>
    <row r="96" spans="1:54" ht="12.75">
      <c r="A96" s="7" t="s">
        <v>90</v>
      </c>
      <c r="B96" s="7"/>
      <c r="C96" s="7"/>
      <c r="D96" s="7"/>
      <c r="E96" s="7"/>
      <c r="F96" s="7" t="s">
        <v>89</v>
      </c>
      <c r="G96" s="7"/>
      <c r="H96" s="7"/>
      <c r="I96" s="7"/>
      <c r="J96" s="93"/>
      <c r="K96" s="93"/>
      <c r="L96" s="24"/>
      <c r="M96" s="24"/>
      <c r="N96" s="24"/>
      <c r="O96" s="24"/>
      <c r="P96" s="44"/>
      <c r="Q96" s="24"/>
      <c r="R96" s="94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105" t="s">
        <v>13</v>
      </c>
      <c r="AU96" s="11"/>
      <c r="AV96" s="11"/>
      <c r="AW96" s="11"/>
      <c r="AX96" s="11"/>
      <c r="AY96" s="12"/>
      <c r="AZ96" s="149">
        <f>SUM(AZ97:AZ102)</f>
        <v>1051628</v>
      </c>
      <c r="BA96" s="55"/>
      <c r="BB96" s="148">
        <f>AZ96*BB58</f>
        <v>3340717.2608604566</v>
      </c>
    </row>
    <row r="97" spans="1:54" ht="12.75">
      <c r="A97" s="8" t="s">
        <v>185</v>
      </c>
      <c r="B97" s="33" t="s">
        <v>91</v>
      </c>
      <c r="C97" s="8" t="s">
        <v>92</v>
      </c>
      <c r="D97" s="76" t="s">
        <v>167</v>
      </c>
      <c r="E97" s="77"/>
      <c r="F97" s="8" t="s">
        <v>93</v>
      </c>
      <c r="G97" s="8" t="s">
        <v>206</v>
      </c>
      <c r="H97" s="8" t="s">
        <v>94</v>
      </c>
      <c r="I97" s="8" t="s">
        <v>84</v>
      </c>
      <c r="J97" s="93"/>
      <c r="K97" s="93"/>
      <c r="L97" s="24"/>
      <c r="M97" s="24"/>
      <c r="N97" s="24"/>
      <c r="O97" s="24"/>
      <c r="P97" s="44"/>
      <c r="Q97" s="24"/>
      <c r="R97" s="94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23" t="s">
        <v>14</v>
      </c>
      <c r="AU97" s="24"/>
      <c r="AV97" s="24"/>
      <c r="AW97" s="24"/>
      <c r="AX97" s="24"/>
      <c r="AY97" s="25"/>
      <c r="AZ97" s="27">
        <v>352079</v>
      </c>
      <c r="BA97" s="38"/>
      <c r="BB97" s="148">
        <f>AZ97*BB58</f>
        <v>1118452.9058626136</v>
      </c>
    </row>
    <row r="98" spans="1:54" ht="12.75">
      <c r="A98" s="34"/>
      <c r="B98" s="34"/>
      <c r="C98" s="34"/>
      <c r="D98" s="8" t="s">
        <v>95</v>
      </c>
      <c r="E98" s="10" t="s">
        <v>96</v>
      </c>
      <c r="F98" s="34" t="s">
        <v>97</v>
      </c>
      <c r="G98" s="34" t="s">
        <v>83</v>
      </c>
      <c r="H98" s="34"/>
      <c r="I98" s="34" t="s">
        <v>98</v>
      </c>
      <c r="J98" s="93"/>
      <c r="K98" s="93"/>
      <c r="L98" s="24"/>
      <c r="M98" s="24"/>
      <c r="N98" s="24"/>
      <c r="O98" s="24"/>
      <c r="P98" s="44"/>
      <c r="Q98" s="24"/>
      <c r="R98" s="94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23" t="s">
        <v>15</v>
      </c>
      <c r="AU98" s="24"/>
      <c r="AV98" s="24"/>
      <c r="AW98" s="24"/>
      <c r="AX98" s="24"/>
      <c r="AY98" s="25"/>
      <c r="AZ98" s="27">
        <v>566086</v>
      </c>
      <c r="BA98" s="38"/>
      <c r="BB98" s="148">
        <f>AZ98*BB58</f>
        <v>1798291.098498188</v>
      </c>
    </row>
    <row r="99" spans="1:54" ht="12.75">
      <c r="A99" s="9"/>
      <c r="B99" s="9"/>
      <c r="C99" s="9"/>
      <c r="D99" s="9" t="s">
        <v>99</v>
      </c>
      <c r="E99" s="6" t="s">
        <v>99</v>
      </c>
      <c r="F99" s="9" t="s">
        <v>100</v>
      </c>
      <c r="G99" s="9"/>
      <c r="H99" s="9"/>
      <c r="I99" s="9"/>
      <c r="J99" s="24"/>
      <c r="K99" s="24"/>
      <c r="L99" s="24"/>
      <c r="M99" s="24"/>
      <c r="N99" s="24"/>
      <c r="O99" s="24"/>
      <c r="P99" s="44"/>
      <c r="Q99" s="24"/>
      <c r="R99" s="94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23" t="s">
        <v>16</v>
      </c>
      <c r="AU99" s="24"/>
      <c r="AV99" s="24"/>
      <c r="AW99" s="24"/>
      <c r="AX99" s="24"/>
      <c r="AY99" s="25"/>
      <c r="AZ99" s="27">
        <v>129189</v>
      </c>
      <c r="BA99" s="38"/>
      <c r="BB99" s="148">
        <f>AZ99*BB58</f>
        <v>410395.9976467929</v>
      </c>
    </row>
    <row r="100" spans="1:54" ht="12.75">
      <c r="A100" s="17">
        <v>1</v>
      </c>
      <c r="B100" s="17">
        <v>2</v>
      </c>
      <c r="C100" s="17">
        <v>3</v>
      </c>
      <c r="D100" s="17">
        <v>4</v>
      </c>
      <c r="E100" s="17">
        <v>5</v>
      </c>
      <c r="F100" s="17">
        <v>6</v>
      </c>
      <c r="G100" s="17">
        <v>7</v>
      </c>
      <c r="H100" s="17">
        <v>8</v>
      </c>
      <c r="I100" s="17">
        <v>9</v>
      </c>
      <c r="J100" s="24"/>
      <c r="K100" s="24"/>
      <c r="L100" s="24"/>
      <c r="M100" s="24"/>
      <c r="N100" s="24"/>
      <c r="O100" s="24"/>
      <c r="P100" s="44"/>
      <c r="Q100" s="24"/>
      <c r="R100" s="94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23" t="s">
        <v>17</v>
      </c>
      <c r="AU100" s="24"/>
      <c r="AV100" s="24"/>
      <c r="AW100" s="24"/>
      <c r="AX100" s="24"/>
      <c r="AY100" s="25"/>
      <c r="AZ100" s="27">
        <v>350</v>
      </c>
      <c r="BA100" s="38"/>
      <c r="BB100" s="148">
        <f>AZ100*BB58</f>
        <v>1111.8485256204283</v>
      </c>
    </row>
    <row r="101" spans="1:54" ht="12.75">
      <c r="A101" s="6"/>
      <c r="B101" s="13"/>
      <c r="C101" s="169" t="s">
        <v>168</v>
      </c>
      <c r="D101" s="169"/>
      <c r="E101" s="13"/>
      <c r="F101" s="13"/>
      <c r="G101" s="13"/>
      <c r="H101" s="13"/>
      <c r="I101" s="14"/>
      <c r="J101" s="24"/>
      <c r="K101" s="24"/>
      <c r="L101" s="24"/>
      <c r="M101" s="24"/>
      <c r="N101" s="24"/>
      <c r="O101" s="24"/>
      <c r="P101" s="44"/>
      <c r="Q101" s="24"/>
      <c r="R101" s="94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23" t="s">
        <v>18</v>
      </c>
      <c r="AU101" s="24"/>
      <c r="AV101" s="24"/>
      <c r="AW101" s="24"/>
      <c r="AX101" s="24"/>
      <c r="AY101" s="25"/>
      <c r="AZ101" s="27">
        <v>2924</v>
      </c>
      <c r="BA101" s="38"/>
      <c r="BB101" s="148">
        <f>AZ101*BB58</f>
        <v>9288.700254040377</v>
      </c>
    </row>
    <row r="102" spans="1:54" ht="12.75">
      <c r="A102" s="4"/>
      <c r="B102" s="5" t="s">
        <v>257</v>
      </c>
      <c r="C102" s="15"/>
      <c r="D102" s="15"/>
      <c r="E102" s="15"/>
      <c r="F102" s="15"/>
      <c r="G102" s="15"/>
      <c r="H102" s="15"/>
      <c r="I102" s="16"/>
      <c r="J102" s="24"/>
      <c r="K102" s="24"/>
      <c r="L102" s="24"/>
      <c r="M102" s="24"/>
      <c r="N102" s="24"/>
      <c r="O102" s="24"/>
      <c r="P102" s="44"/>
      <c r="Q102" s="24"/>
      <c r="R102" s="94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6" t="s">
        <v>8</v>
      </c>
      <c r="AU102" s="13"/>
      <c r="AV102" s="13"/>
      <c r="AW102" s="13"/>
      <c r="AX102" s="13"/>
      <c r="AY102" s="14"/>
      <c r="AZ102" s="28">
        <v>1000</v>
      </c>
      <c r="BA102" s="46"/>
      <c r="BB102" s="148">
        <f>AZ102*BB58</f>
        <v>3176.7100732012236</v>
      </c>
    </row>
    <row r="103" spans="1:54" ht="12.75">
      <c r="A103" s="33">
        <v>1</v>
      </c>
      <c r="B103" s="8" t="s">
        <v>141</v>
      </c>
      <c r="C103" s="50">
        <v>804152757</v>
      </c>
      <c r="D103" s="81">
        <v>2511.8236</v>
      </c>
      <c r="E103" s="81">
        <v>2560.7495</v>
      </c>
      <c r="F103" s="20">
        <v>36000</v>
      </c>
      <c r="G103" s="102">
        <f>E103-D103</f>
        <v>48.92589999999973</v>
      </c>
      <c r="H103" s="4"/>
      <c r="I103" s="20">
        <f>F103*G103+H103</f>
        <v>1761332.3999999901</v>
      </c>
      <c r="J103" s="24"/>
      <c r="K103" s="24"/>
      <c r="L103" s="24"/>
      <c r="M103" s="24"/>
      <c r="N103" s="24"/>
      <c r="O103" s="24"/>
      <c r="P103" s="44"/>
      <c r="Q103" s="24"/>
      <c r="R103" s="94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105" t="s">
        <v>178</v>
      </c>
      <c r="AU103" s="11"/>
      <c r="AV103" s="11"/>
      <c r="AW103" s="11"/>
      <c r="AX103" s="11"/>
      <c r="AY103" s="12"/>
      <c r="AZ103" s="149">
        <f>SUM(AZ104:AZ108)</f>
        <v>14240</v>
      </c>
      <c r="BA103" s="55"/>
      <c r="BB103" s="148">
        <f>AZ103*BB58</f>
        <v>45236.35144238543</v>
      </c>
    </row>
    <row r="104" spans="1:54" ht="12.75">
      <c r="A104" s="9"/>
      <c r="B104" s="6" t="s">
        <v>142</v>
      </c>
      <c r="C104" s="66">
        <v>109054169</v>
      </c>
      <c r="D104" s="81">
        <v>3090.4663</v>
      </c>
      <c r="E104" s="81">
        <v>3143.3106</v>
      </c>
      <c r="F104" s="20">
        <v>36000</v>
      </c>
      <c r="G104" s="102">
        <f>E104-D104</f>
        <v>52.84429999999975</v>
      </c>
      <c r="H104" s="4"/>
      <c r="I104" s="20">
        <f>F104*G104+H104</f>
        <v>1902394.799999991</v>
      </c>
      <c r="J104" s="24"/>
      <c r="K104" s="24"/>
      <c r="L104" s="43"/>
      <c r="M104" s="43"/>
      <c r="N104" s="24"/>
      <c r="O104" s="24"/>
      <c r="P104" s="44"/>
      <c r="Q104" s="24"/>
      <c r="R104" s="94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23"/>
      <c r="AU104" s="24" t="s">
        <v>201</v>
      </c>
      <c r="AV104" s="24"/>
      <c r="AW104" s="24"/>
      <c r="AX104" s="24"/>
      <c r="AY104" s="25"/>
      <c r="AZ104" s="27">
        <v>2240</v>
      </c>
      <c r="BA104" s="38"/>
      <c r="BB104" s="148">
        <f>AZ104*BB58</f>
        <v>7115.830563970741</v>
      </c>
    </row>
    <row r="105" spans="1:54" ht="12.75">
      <c r="A105" s="5"/>
      <c r="B105" s="15"/>
      <c r="C105" s="13"/>
      <c r="D105" s="15"/>
      <c r="E105" s="15"/>
      <c r="F105" s="67" t="s">
        <v>104</v>
      </c>
      <c r="G105" s="15"/>
      <c r="H105" s="16"/>
      <c r="I105" s="20">
        <f>I103+I104</f>
        <v>3663727.199999981</v>
      </c>
      <c r="J105" s="24"/>
      <c r="K105" s="24"/>
      <c r="L105" s="24"/>
      <c r="M105" s="24"/>
      <c r="N105" s="24"/>
      <c r="O105" s="24"/>
      <c r="P105" s="45"/>
      <c r="Q105" s="24"/>
      <c r="R105" s="24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23" t="s">
        <v>199</v>
      </c>
      <c r="AU105" s="24"/>
      <c r="AV105" s="24" t="s">
        <v>179</v>
      </c>
      <c r="AW105" s="24"/>
      <c r="AX105" s="24"/>
      <c r="AY105" s="25"/>
      <c r="AZ105" s="27">
        <v>4720</v>
      </c>
      <c r="BA105" s="38"/>
      <c r="BB105" s="148">
        <f>AZ105*BB58</f>
        <v>14994.071545509776</v>
      </c>
    </row>
    <row r="106" spans="1:54" ht="12.75">
      <c r="A106" s="4" t="s">
        <v>105</v>
      </c>
      <c r="B106" s="5" t="s">
        <v>106</v>
      </c>
      <c r="C106" s="15"/>
      <c r="D106" s="15"/>
      <c r="E106" s="15"/>
      <c r="F106" s="15"/>
      <c r="G106" s="15"/>
      <c r="H106" s="15"/>
      <c r="I106" s="16"/>
      <c r="J106" s="24"/>
      <c r="K106" s="24"/>
      <c r="L106" s="24"/>
      <c r="M106" s="24"/>
      <c r="N106" s="24"/>
      <c r="O106" s="24"/>
      <c r="P106" s="45"/>
      <c r="Q106" s="24"/>
      <c r="R106" s="24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23" t="s">
        <v>199</v>
      </c>
      <c r="AU106" s="24"/>
      <c r="AV106" s="24" t="s">
        <v>202</v>
      </c>
      <c r="AW106" s="24"/>
      <c r="AX106" s="24"/>
      <c r="AY106" s="25"/>
      <c r="AZ106" s="27">
        <v>0</v>
      </c>
      <c r="BA106" s="38"/>
      <c r="BB106" s="148">
        <f>AZ106*BB58</f>
        <v>0</v>
      </c>
    </row>
    <row r="107" spans="1:54" ht="12.75">
      <c r="A107" s="4" t="s">
        <v>107</v>
      </c>
      <c r="B107" s="4" t="s">
        <v>108</v>
      </c>
      <c r="C107" s="66">
        <v>109053225</v>
      </c>
      <c r="D107" s="81">
        <v>7743.7182</v>
      </c>
      <c r="E107" s="81">
        <v>7815.5673</v>
      </c>
      <c r="F107" s="20">
        <v>21000</v>
      </c>
      <c r="G107" s="102">
        <f>E107-D107</f>
        <v>71.84909999999945</v>
      </c>
      <c r="H107" s="4"/>
      <c r="I107" s="20">
        <f>F107*G107+H107</f>
        <v>1508831.0999999885</v>
      </c>
      <c r="J107" s="24"/>
      <c r="K107" s="24"/>
      <c r="L107" s="24"/>
      <c r="M107" s="24"/>
      <c r="N107" s="24"/>
      <c r="O107" s="24"/>
      <c r="P107" s="45"/>
      <c r="Q107" s="24"/>
      <c r="R107" s="24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24"/>
      <c r="AU107" s="24"/>
      <c r="AV107" s="24" t="s">
        <v>203</v>
      </c>
      <c r="AW107" s="24"/>
      <c r="AX107" s="24"/>
      <c r="AY107" s="24"/>
      <c r="AZ107" s="27">
        <v>140</v>
      </c>
      <c r="BA107" s="30"/>
      <c r="BB107" s="148">
        <f>AZ107*BB58</f>
        <v>444.73941024817134</v>
      </c>
    </row>
    <row r="108" spans="1:54" ht="12.75">
      <c r="A108" s="4" t="s">
        <v>252</v>
      </c>
      <c r="B108" s="15" t="s">
        <v>255</v>
      </c>
      <c r="C108" s="13"/>
      <c r="D108" s="15"/>
      <c r="E108" s="15"/>
      <c r="F108" s="67"/>
      <c r="G108" s="15"/>
      <c r="H108" s="16"/>
      <c r="I108" s="20"/>
      <c r="J108" s="24"/>
      <c r="K108" s="24"/>
      <c r="L108" s="24"/>
      <c r="M108" s="24"/>
      <c r="N108" s="24"/>
      <c r="O108" s="24"/>
      <c r="P108" s="45"/>
      <c r="Q108" s="24"/>
      <c r="R108" s="24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6" t="s">
        <v>55</v>
      </c>
      <c r="AU108" s="13"/>
      <c r="AV108" s="61"/>
      <c r="AW108" s="61"/>
      <c r="AX108" s="13"/>
      <c r="AY108" s="14"/>
      <c r="AZ108" s="28">
        <v>7140</v>
      </c>
      <c r="BA108" s="46"/>
      <c r="BB108" s="148">
        <f>AZ108*BB58</f>
        <v>22681.709922656737</v>
      </c>
    </row>
    <row r="109" spans="1:54" ht="12.75">
      <c r="A109" s="4" t="s">
        <v>253</v>
      </c>
      <c r="B109" s="5" t="s">
        <v>256</v>
      </c>
      <c r="C109" s="15"/>
      <c r="D109" s="15"/>
      <c r="E109" s="15"/>
      <c r="F109" s="15"/>
      <c r="G109" s="15"/>
      <c r="H109" s="16"/>
      <c r="I109" s="130"/>
      <c r="J109" s="24"/>
      <c r="K109" s="24"/>
      <c r="L109" s="24"/>
      <c r="M109" s="24"/>
      <c r="N109" s="24"/>
      <c r="O109" s="24"/>
      <c r="P109" s="45"/>
      <c r="Q109" s="24"/>
      <c r="R109" s="94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105" t="s">
        <v>266</v>
      </c>
      <c r="AU109" s="11"/>
      <c r="AV109" s="11"/>
      <c r="AW109" s="11"/>
      <c r="AX109" s="11"/>
      <c r="AY109" s="12"/>
      <c r="AZ109" s="149">
        <f>AZ110+AZ111</f>
        <v>201403</v>
      </c>
      <c r="BA109" s="55"/>
      <c r="BB109" s="148">
        <f>AZ109*BB58</f>
        <v>639798.9388729461</v>
      </c>
    </row>
    <row r="110" spans="1:54" ht="12.75">
      <c r="A110" s="5" t="s">
        <v>254</v>
      </c>
      <c r="B110" s="5"/>
      <c r="C110" s="179"/>
      <c r="D110" s="180"/>
      <c r="E110" s="180"/>
      <c r="F110" s="181"/>
      <c r="G110" s="182"/>
      <c r="H110" s="16"/>
      <c r="I110" s="130"/>
      <c r="J110" s="24"/>
      <c r="K110" s="24"/>
      <c r="L110" s="24"/>
      <c r="M110" s="24"/>
      <c r="N110" s="24"/>
      <c r="O110" s="24"/>
      <c r="P110" s="45"/>
      <c r="Q110" s="24"/>
      <c r="R110" s="24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23" t="s">
        <v>19</v>
      </c>
      <c r="AU110" s="24"/>
      <c r="AV110" s="24"/>
      <c r="AW110" s="24"/>
      <c r="AX110" s="24"/>
      <c r="AY110" s="25"/>
      <c r="AZ110" s="27">
        <v>16964</v>
      </c>
      <c r="BA110" s="38"/>
      <c r="BB110" s="148">
        <f>AZ110*BB58</f>
        <v>53889.709681785556</v>
      </c>
    </row>
    <row r="111" spans="1:54" ht="12.75">
      <c r="A111" s="4" t="s">
        <v>111</v>
      </c>
      <c r="B111" s="5" t="s">
        <v>112</v>
      </c>
      <c r="C111" s="15"/>
      <c r="D111" s="15"/>
      <c r="E111" s="15"/>
      <c r="F111" s="15"/>
      <c r="G111" s="15"/>
      <c r="H111" s="15"/>
      <c r="I111" s="16"/>
      <c r="J111" s="24"/>
      <c r="K111" s="24"/>
      <c r="L111" s="24"/>
      <c r="M111" s="24"/>
      <c r="N111" s="24"/>
      <c r="O111" s="24"/>
      <c r="P111" s="24"/>
      <c r="Q111" s="24"/>
      <c r="R111" s="24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6" t="s">
        <v>20</v>
      </c>
      <c r="AU111" s="13"/>
      <c r="AV111" s="13"/>
      <c r="AW111" s="13"/>
      <c r="AX111" s="13"/>
      <c r="AY111" s="14"/>
      <c r="AZ111" s="28">
        <v>184439</v>
      </c>
      <c r="BA111" s="46"/>
      <c r="BB111" s="148">
        <f>AZ111*BB58</f>
        <v>585909.2291911605</v>
      </c>
    </row>
    <row r="112" spans="1:54" ht="12.75">
      <c r="A112" s="8" t="s">
        <v>113</v>
      </c>
      <c r="B112" s="8" t="s">
        <v>116</v>
      </c>
      <c r="C112" s="50"/>
      <c r="D112" s="33"/>
      <c r="E112" s="33"/>
      <c r="F112" s="35"/>
      <c r="G112" s="33"/>
      <c r="H112" s="33"/>
      <c r="I112" s="33"/>
      <c r="J112" s="24"/>
      <c r="K112" s="24"/>
      <c r="L112" s="24"/>
      <c r="M112" s="24"/>
      <c r="N112" s="24"/>
      <c r="O112" s="24"/>
      <c r="P112" s="24"/>
      <c r="Q112" s="24"/>
      <c r="R112" s="24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123" t="s">
        <v>204</v>
      </c>
      <c r="AU112" s="15"/>
      <c r="AV112" s="15"/>
      <c r="AW112" s="15"/>
      <c r="AX112" s="15"/>
      <c r="AY112" s="16"/>
      <c r="AZ112" s="85">
        <v>16520</v>
      </c>
      <c r="BA112" s="52"/>
      <c r="BB112" s="148">
        <f>AZ112*BB58</f>
        <v>52479.250409284214</v>
      </c>
    </row>
    <row r="113" spans="1:54" ht="12.75">
      <c r="A113" s="9"/>
      <c r="B113" s="9" t="s">
        <v>114</v>
      </c>
      <c r="C113" s="51">
        <v>109056121</v>
      </c>
      <c r="D113" s="172">
        <v>6612.8944</v>
      </c>
      <c r="E113" s="172">
        <v>6646.483</v>
      </c>
      <c r="F113" s="28">
        <v>4800</v>
      </c>
      <c r="G113" s="173">
        <f aca="true" t="shared" si="2" ref="G113:G132">E113-D113</f>
        <v>33.58860000000004</v>
      </c>
      <c r="H113" s="28"/>
      <c r="I113" s="28">
        <f>F113*G113+H113</f>
        <v>161225.2800000002</v>
      </c>
      <c r="J113" s="24"/>
      <c r="K113" s="24"/>
      <c r="L113" s="24"/>
      <c r="M113" s="24"/>
      <c r="N113" s="24"/>
      <c r="O113" s="24"/>
      <c r="P113" s="24"/>
      <c r="Q113" s="24"/>
      <c r="R113" s="24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123" t="s">
        <v>54</v>
      </c>
      <c r="AU113" s="15"/>
      <c r="AV113" s="15"/>
      <c r="AW113" s="15"/>
      <c r="AX113" s="15"/>
      <c r="AY113" s="16"/>
      <c r="AZ113" s="85">
        <v>21408</v>
      </c>
      <c r="BA113" s="52"/>
      <c r="BB113" s="148">
        <f>AZ113*BB58</f>
        <v>68007.0092470918</v>
      </c>
    </row>
    <row r="114" spans="1:54" ht="12.75">
      <c r="A114" s="8" t="s">
        <v>115</v>
      </c>
      <c r="B114" s="8" t="s">
        <v>127</v>
      </c>
      <c r="C114" s="50">
        <v>623125232</v>
      </c>
      <c r="D114" s="174">
        <v>3004.4408</v>
      </c>
      <c r="E114" s="174">
        <v>3004.4408</v>
      </c>
      <c r="F114" s="35">
        <v>1800</v>
      </c>
      <c r="G114" s="175">
        <f t="shared" si="2"/>
        <v>0</v>
      </c>
      <c r="H114" s="33"/>
      <c r="I114" s="35">
        <f>G114*F114</f>
        <v>0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123" t="s">
        <v>195</v>
      </c>
      <c r="AU114" s="15"/>
      <c r="AV114" s="15"/>
      <c r="AW114" s="15"/>
      <c r="AX114" s="15"/>
      <c r="AY114" s="16"/>
      <c r="AZ114" s="85">
        <v>12724</v>
      </c>
      <c r="BA114" s="52"/>
      <c r="BB114" s="148">
        <f>AZ114*BB58</f>
        <v>40420.45897141237</v>
      </c>
    </row>
    <row r="115" spans="1:54" ht="12.75">
      <c r="A115" s="9"/>
      <c r="B115" s="9" t="s">
        <v>114</v>
      </c>
      <c r="C115" s="31"/>
      <c r="D115" s="79"/>
      <c r="E115" s="79"/>
      <c r="F115" s="28"/>
      <c r="G115" s="78"/>
      <c r="H115" s="31"/>
      <c r="I115" s="28"/>
      <c r="J115" s="24"/>
      <c r="K115" s="24"/>
      <c r="L115" s="24"/>
      <c r="M115" s="24"/>
      <c r="N115" s="24"/>
      <c r="O115" s="24"/>
      <c r="P115" s="24"/>
      <c r="Q115" s="24"/>
      <c r="R115" s="24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123" t="s">
        <v>175</v>
      </c>
      <c r="AU115" s="15"/>
      <c r="AV115" s="15"/>
      <c r="AW115" s="15"/>
      <c r="AX115" s="15"/>
      <c r="AY115" s="16"/>
      <c r="AZ115" s="85">
        <v>3172</v>
      </c>
      <c r="BA115" s="52"/>
      <c r="BB115" s="148">
        <f>AZ115*BB58</f>
        <v>10076.524352194281</v>
      </c>
    </row>
    <row r="116" spans="1:54" ht="12.75">
      <c r="A116" s="8" t="s">
        <v>117</v>
      </c>
      <c r="B116" s="8" t="s">
        <v>128</v>
      </c>
      <c r="C116" s="50">
        <v>623125667</v>
      </c>
      <c r="D116" s="174">
        <v>3941.0549</v>
      </c>
      <c r="E116" s="174">
        <v>4026.3237</v>
      </c>
      <c r="F116" s="35">
        <v>1800</v>
      </c>
      <c r="G116" s="175">
        <f t="shared" si="2"/>
        <v>85.26879999999983</v>
      </c>
      <c r="H116" s="33"/>
      <c r="I116" s="35">
        <f>G116*F116</f>
        <v>153483.83999999968</v>
      </c>
      <c r="J116" s="24"/>
      <c r="K116" s="24"/>
      <c r="L116" s="24"/>
      <c r="M116" s="24"/>
      <c r="N116" s="24"/>
      <c r="O116" s="24"/>
      <c r="P116" s="24"/>
      <c r="Q116" s="24"/>
      <c r="R116" s="24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123" t="s">
        <v>2</v>
      </c>
      <c r="AU116" s="15"/>
      <c r="AV116" s="15"/>
      <c r="AW116" s="15"/>
      <c r="AX116" s="15"/>
      <c r="AY116" s="16"/>
      <c r="AZ116" s="85">
        <v>40000</v>
      </c>
      <c r="BA116" s="52"/>
      <c r="BB116" s="148">
        <f>AZ116*BB58</f>
        <v>127068.40292804895</v>
      </c>
    </row>
    <row r="117" spans="1:54" ht="12.75">
      <c r="A117" s="9"/>
      <c r="B117" s="9" t="s">
        <v>114</v>
      </c>
      <c r="C117" s="31"/>
      <c r="D117" s="79"/>
      <c r="E117" s="79"/>
      <c r="F117" s="28"/>
      <c r="G117" s="78"/>
      <c r="H117" s="31"/>
      <c r="I117" s="28"/>
      <c r="J117" s="24"/>
      <c r="K117" s="24"/>
      <c r="L117" s="24"/>
      <c r="M117" s="24"/>
      <c r="N117" s="24"/>
      <c r="O117" s="24"/>
      <c r="P117" s="24"/>
      <c r="Q117" s="24"/>
      <c r="R117" s="24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123" t="s">
        <v>5</v>
      </c>
      <c r="AU117" s="67"/>
      <c r="AV117" s="15"/>
      <c r="AW117" s="15"/>
      <c r="AX117" s="15"/>
      <c r="AY117" s="16"/>
      <c r="AZ117" s="85">
        <v>12500</v>
      </c>
      <c r="BA117" s="52"/>
      <c r="BB117" s="148">
        <f>AZ117*BB58</f>
        <v>39708.8759150153</v>
      </c>
    </row>
    <row r="118" spans="1:54" ht="12.75">
      <c r="A118" s="8" t="s">
        <v>118</v>
      </c>
      <c r="B118" s="8" t="s">
        <v>129</v>
      </c>
      <c r="C118" s="50">
        <v>623126370</v>
      </c>
      <c r="D118" s="174">
        <v>781.4214</v>
      </c>
      <c r="E118" s="174">
        <v>796.8884</v>
      </c>
      <c r="F118" s="35">
        <v>4800</v>
      </c>
      <c r="G118" s="175">
        <f t="shared" si="2"/>
        <v>15.467000000000098</v>
      </c>
      <c r="H118" s="33"/>
      <c r="I118" s="35">
        <f>G118*F118</f>
        <v>74241.60000000047</v>
      </c>
      <c r="J118" s="24"/>
      <c r="K118" s="24"/>
      <c r="L118" s="24"/>
      <c r="M118" s="24"/>
      <c r="N118" s="24"/>
      <c r="O118" s="24"/>
      <c r="P118" s="24"/>
      <c r="Q118" s="24"/>
      <c r="R118" s="24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123" t="s">
        <v>200</v>
      </c>
      <c r="AU118" s="67"/>
      <c r="AV118" s="15"/>
      <c r="AW118" s="15"/>
      <c r="AX118" s="15"/>
      <c r="AY118" s="16"/>
      <c r="AZ118" s="85">
        <v>50</v>
      </c>
      <c r="BA118" s="52"/>
      <c r="BB118" s="148">
        <f>AZ118*BB58</f>
        <v>158.8355036600612</v>
      </c>
    </row>
    <row r="119" spans="1:54" ht="12.75">
      <c r="A119" s="9"/>
      <c r="B119" s="9" t="s">
        <v>114</v>
      </c>
      <c r="C119" s="31"/>
      <c r="D119" s="79"/>
      <c r="E119" s="79"/>
      <c r="F119" s="28"/>
      <c r="G119" s="78"/>
      <c r="H119" s="31"/>
      <c r="I119" s="28"/>
      <c r="J119" s="24"/>
      <c r="K119" s="24"/>
      <c r="L119" s="24"/>
      <c r="M119" s="24"/>
      <c r="N119" s="24"/>
      <c r="O119" s="24"/>
      <c r="P119" s="24"/>
      <c r="Q119" s="24"/>
      <c r="R119" s="24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123" t="s">
        <v>197</v>
      </c>
      <c r="AU119" s="67"/>
      <c r="AV119" s="15"/>
      <c r="AW119" s="15"/>
      <c r="AX119" s="15"/>
      <c r="AY119" s="16"/>
      <c r="AZ119" s="85">
        <v>54640</v>
      </c>
      <c r="BA119" s="52"/>
      <c r="BB119" s="148">
        <f>AZ119*BB58</f>
        <v>173575.43839971485</v>
      </c>
    </row>
    <row r="120" spans="1:54" ht="12.75">
      <c r="A120" s="8" t="s">
        <v>119</v>
      </c>
      <c r="B120" s="8" t="s">
        <v>130</v>
      </c>
      <c r="C120" s="50">
        <v>623125137</v>
      </c>
      <c r="D120" s="174">
        <v>695.661</v>
      </c>
      <c r="E120" s="174">
        <v>695.661</v>
      </c>
      <c r="F120" s="35">
        <v>4800</v>
      </c>
      <c r="G120" s="175">
        <f t="shared" si="2"/>
        <v>0</v>
      </c>
      <c r="H120" s="33"/>
      <c r="I120" s="35">
        <f>G120*F120</f>
        <v>0</v>
      </c>
      <c r="J120" s="24"/>
      <c r="K120" s="24"/>
      <c r="L120" s="24"/>
      <c r="M120" s="24"/>
      <c r="N120" s="24"/>
      <c r="O120" s="24"/>
      <c r="P120" s="24"/>
      <c r="Q120" s="24"/>
      <c r="R120" s="24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123"/>
      <c r="AU120" s="67"/>
      <c r="AV120" s="15"/>
      <c r="AW120" s="15"/>
      <c r="AX120" s="15"/>
      <c r="AY120" s="16"/>
      <c r="AZ120" s="85"/>
      <c r="BA120" s="52"/>
      <c r="BB120" s="148"/>
    </row>
    <row r="121" spans="1:54" ht="12.75">
      <c r="A121" s="9"/>
      <c r="B121" s="9" t="s">
        <v>114</v>
      </c>
      <c r="C121" s="31"/>
      <c r="D121" s="79"/>
      <c r="E121" s="79"/>
      <c r="F121" s="28"/>
      <c r="G121" s="78"/>
      <c r="H121" s="31"/>
      <c r="I121" s="28"/>
      <c r="J121" s="24"/>
      <c r="K121" s="24"/>
      <c r="L121" s="24"/>
      <c r="M121" s="24"/>
      <c r="N121" s="24"/>
      <c r="O121" s="24"/>
      <c r="P121" s="24"/>
      <c r="Q121" s="24"/>
      <c r="R121" s="24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5"/>
      <c r="AU121" s="15"/>
      <c r="AV121" s="15"/>
      <c r="AW121" s="15"/>
      <c r="AX121" s="15"/>
      <c r="AY121" s="16"/>
      <c r="AZ121" s="85"/>
      <c r="BA121" s="52"/>
      <c r="BB121" s="148"/>
    </row>
    <row r="122" spans="1:54" ht="12.75">
      <c r="A122" s="8" t="s">
        <v>120</v>
      </c>
      <c r="B122" s="8" t="s">
        <v>131</v>
      </c>
      <c r="C122" s="50">
        <v>623125142</v>
      </c>
      <c r="D122" s="174">
        <v>2618.9311</v>
      </c>
      <c r="E122" s="174">
        <v>2657.5554</v>
      </c>
      <c r="F122" s="35">
        <v>2400</v>
      </c>
      <c r="G122" s="175">
        <f t="shared" si="2"/>
        <v>38.6243000000004</v>
      </c>
      <c r="H122" s="33"/>
      <c r="I122" s="35">
        <f>G122*F122</f>
        <v>92698.32000000097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5"/>
      <c r="AU122" s="15"/>
      <c r="AV122" s="15"/>
      <c r="AW122" s="15"/>
      <c r="AX122" s="15"/>
      <c r="AY122" s="16"/>
      <c r="AZ122" s="85"/>
      <c r="BA122" s="52"/>
      <c r="BB122" s="148"/>
    </row>
    <row r="123" spans="1:54" ht="12.75">
      <c r="A123" s="9"/>
      <c r="B123" s="9" t="s">
        <v>114</v>
      </c>
      <c r="C123" s="31"/>
      <c r="D123" s="79"/>
      <c r="E123" s="79"/>
      <c r="F123" s="28"/>
      <c r="G123" s="78"/>
      <c r="H123" s="31"/>
      <c r="I123" s="28"/>
      <c r="J123" s="24"/>
      <c r="K123" s="24"/>
      <c r="L123" s="24"/>
      <c r="M123" s="24"/>
      <c r="N123" s="24"/>
      <c r="O123" s="24"/>
      <c r="P123" s="24"/>
      <c r="Q123" s="24"/>
      <c r="R123" s="24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5"/>
      <c r="AU123" s="15"/>
      <c r="AV123" s="15"/>
      <c r="AW123" s="15"/>
      <c r="AX123" s="15"/>
      <c r="AY123" s="16"/>
      <c r="AZ123" s="85"/>
      <c r="BA123" s="52"/>
      <c r="BB123" s="148"/>
    </row>
    <row r="124" spans="1:54" ht="12.75">
      <c r="A124" s="8" t="s">
        <v>121</v>
      </c>
      <c r="B124" s="8" t="s">
        <v>132</v>
      </c>
      <c r="C124" s="50">
        <v>623125205</v>
      </c>
      <c r="D124" s="174">
        <v>2112.8001</v>
      </c>
      <c r="E124" s="174">
        <v>2156.6227</v>
      </c>
      <c r="F124" s="35">
        <v>1800</v>
      </c>
      <c r="G124" s="175">
        <f t="shared" si="2"/>
        <v>43.822599999999966</v>
      </c>
      <c r="H124" s="33"/>
      <c r="I124" s="35">
        <f>G124*F124</f>
        <v>78880.67999999993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5"/>
      <c r="AU124" s="15"/>
      <c r="AV124" s="15"/>
      <c r="AW124" s="15"/>
      <c r="AX124" s="15"/>
      <c r="AY124" s="16"/>
      <c r="AZ124" s="85"/>
      <c r="BA124" s="52"/>
      <c r="BB124" s="148"/>
    </row>
    <row r="125" spans="1:54" ht="12.75">
      <c r="A125" s="9"/>
      <c r="B125" s="9" t="s">
        <v>114</v>
      </c>
      <c r="C125" s="31"/>
      <c r="D125" s="79"/>
      <c r="E125" s="79"/>
      <c r="F125" s="28"/>
      <c r="G125" s="78"/>
      <c r="H125" s="31"/>
      <c r="I125" s="28"/>
      <c r="J125" s="24"/>
      <c r="K125" s="24"/>
      <c r="L125" s="24"/>
      <c r="M125" s="24"/>
      <c r="N125" s="24"/>
      <c r="O125" s="24"/>
      <c r="P125" s="24"/>
      <c r="Q125" s="24"/>
      <c r="R125" s="24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5"/>
      <c r="AU125" s="15"/>
      <c r="AV125" s="15"/>
      <c r="AW125" s="15"/>
      <c r="AX125" s="15"/>
      <c r="AY125" s="16"/>
      <c r="AZ125" s="85"/>
      <c r="BA125" s="52"/>
      <c r="BB125" s="148"/>
    </row>
    <row r="126" spans="1:54" ht="12.75">
      <c r="A126" s="8" t="s">
        <v>122</v>
      </c>
      <c r="B126" s="8" t="s">
        <v>133</v>
      </c>
      <c r="C126" s="50">
        <v>623123704</v>
      </c>
      <c r="D126" s="174">
        <v>2571.7313</v>
      </c>
      <c r="E126" s="174">
        <v>2636.3724</v>
      </c>
      <c r="F126" s="35">
        <v>1800</v>
      </c>
      <c r="G126" s="175">
        <f t="shared" si="2"/>
        <v>64.64110000000028</v>
      </c>
      <c r="H126" s="33"/>
      <c r="I126" s="35">
        <f>G126*F126</f>
        <v>116353.9800000005</v>
      </c>
      <c r="J126" s="24"/>
      <c r="K126" s="24"/>
      <c r="L126" s="24"/>
      <c r="M126" s="24"/>
      <c r="N126" s="24"/>
      <c r="O126" s="24"/>
      <c r="P126" s="24"/>
      <c r="Q126" s="24"/>
      <c r="R126" s="24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5"/>
      <c r="AU126" s="15"/>
      <c r="AV126" s="71"/>
      <c r="AW126" s="71"/>
      <c r="AX126" s="15"/>
      <c r="AY126" s="16"/>
      <c r="AZ126" s="85"/>
      <c r="BA126" s="52"/>
      <c r="BB126" s="148"/>
    </row>
    <row r="127" spans="1:54" ht="12.75">
      <c r="A127" s="9"/>
      <c r="B127" s="9" t="s">
        <v>114</v>
      </c>
      <c r="C127" s="31"/>
      <c r="D127" s="79"/>
      <c r="E127" s="79"/>
      <c r="F127" s="28"/>
      <c r="G127" s="78"/>
      <c r="H127" s="31"/>
      <c r="I127" s="28"/>
      <c r="J127" s="24"/>
      <c r="K127" s="24"/>
      <c r="L127" s="24"/>
      <c r="M127" s="24"/>
      <c r="N127" s="24"/>
      <c r="O127" s="24"/>
      <c r="P127" s="24"/>
      <c r="Q127" s="24"/>
      <c r="R127" s="24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24"/>
      <c r="AU127" s="7"/>
      <c r="AV127" s="7"/>
      <c r="AW127" s="7"/>
      <c r="AX127" s="7"/>
      <c r="AY127" s="7"/>
      <c r="AZ127" s="124"/>
      <c r="BA127" s="7"/>
      <c r="BB127" s="7"/>
    </row>
    <row r="128" spans="1:54" ht="12.75">
      <c r="A128" s="8" t="s">
        <v>123</v>
      </c>
      <c r="B128" s="8" t="s">
        <v>134</v>
      </c>
      <c r="C128" s="50">
        <v>623125794</v>
      </c>
      <c r="D128" s="174">
        <v>146.9266</v>
      </c>
      <c r="E128" s="174">
        <v>160.2816</v>
      </c>
      <c r="F128" s="35">
        <v>1800</v>
      </c>
      <c r="G128" s="175">
        <f>E128-D128</f>
        <v>13.35499999999999</v>
      </c>
      <c r="H128" s="33"/>
      <c r="I128" s="35">
        <f>G128*F128</f>
        <v>24038.99999999998</v>
      </c>
      <c r="J128" s="24"/>
      <c r="K128" s="24"/>
      <c r="L128" s="24"/>
      <c r="M128" s="24"/>
      <c r="N128" s="24"/>
      <c r="O128" s="24"/>
      <c r="P128" s="24"/>
      <c r="Q128" s="24"/>
      <c r="R128" s="24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24"/>
      <c r="AU128" s="7"/>
      <c r="AV128" s="7"/>
      <c r="AW128" s="7"/>
      <c r="AX128" s="7"/>
      <c r="AY128" s="7"/>
      <c r="AZ128" s="124"/>
      <c r="BA128" s="7"/>
      <c r="BB128" s="7"/>
    </row>
    <row r="129" spans="1:54" ht="12.75">
      <c r="A129" s="9"/>
      <c r="B129" s="9" t="s">
        <v>114</v>
      </c>
      <c r="C129" s="31"/>
      <c r="D129" s="79"/>
      <c r="E129" s="79"/>
      <c r="F129" s="28"/>
      <c r="G129" s="78"/>
      <c r="H129" s="31"/>
      <c r="I129" s="28"/>
      <c r="J129" s="24"/>
      <c r="K129" s="24"/>
      <c r="L129" s="24"/>
      <c r="M129" s="24"/>
      <c r="N129" s="24"/>
      <c r="O129" s="24"/>
      <c r="P129" s="24"/>
      <c r="Q129" s="24"/>
      <c r="R129" s="24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24"/>
      <c r="AU129" s="7"/>
      <c r="AV129" s="7"/>
      <c r="AW129" s="7"/>
      <c r="AX129" s="7"/>
      <c r="AY129" s="7"/>
      <c r="AZ129" s="124"/>
      <c r="BA129" s="7"/>
      <c r="BB129" s="7"/>
    </row>
    <row r="130" spans="1:54" ht="12.75">
      <c r="A130" s="8" t="s">
        <v>124</v>
      </c>
      <c r="B130" s="8" t="s">
        <v>135</v>
      </c>
      <c r="C130" s="50">
        <v>623125736</v>
      </c>
      <c r="D130" s="174">
        <v>3111.4499</v>
      </c>
      <c r="E130" s="174">
        <v>3151.9903</v>
      </c>
      <c r="F130" s="35">
        <v>1200</v>
      </c>
      <c r="G130" s="175">
        <f t="shared" si="2"/>
        <v>40.54039999999986</v>
      </c>
      <c r="H130" s="33"/>
      <c r="I130" s="35">
        <f>G130*F130</f>
        <v>48648.479999999836</v>
      </c>
      <c r="J130" s="24"/>
      <c r="K130" s="24"/>
      <c r="L130" s="24"/>
      <c r="M130" s="24"/>
      <c r="N130" s="24"/>
      <c r="O130" s="24"/>
      <c r="P130" s="24"/>
      <c r="Q130" s="24"/>
      <c r="R130" s="24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24"/>
      <c r="AU130" s="7"/>
      <c r="AV130" s="7"/>
      <c r="AW130" s="7"/>
      <c r="AX130" s="7"/>
      <c r="AY130" s="7"/>
      <c r="AZ130" s="124"/>
      <c r="BA130" s="7"/>
      <c r="BB130" s="7"/>
    </row>
    <row r="131" spans="1:54" ht="12.75">
      <c r="A131" s="9"/>
      <c r="B131" s="9" t="s">
        <v>114</v>
      </c>
      <c r="C131" s="30"/>
      <c r="D131" s="79"/>
      <c r="E131" s="79"/>
      <c r="F131" s="28"/>
      <c r="G131" s="78"/>
      <c r="H131" s="31"/>
      <c r="I131" s="28"/>
      <c r="J131" s="24"/>
      <c r="K131" s="24"/>
      <c r="L131" s="24"/>
      <c r="M131" s="24"/>
      <c r="N131" s="24"/>
      <c r="O131" s="24"/>
      <c r="P131" s="24"/>
      <c r="Q131" s="24"/>
      <c r="R131" s="24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24"/>
      <c r="AU131" s="7" t="s">
        <v>3</v>
      </c>
      <c r="AV131" s="7"/>
      <c r="AW131" s="7"/>
      <c r="AX131" s="7"/>
      <c r="AY131" s="7"/>
      <c r="AZ131" s="150">
        <f>AZ9</f>
        <v>5706462</v>
      </c>
      <c r="BA131" s="7"/>
      <c r="BB131" s="125">
        <f>SUM(BB93:BB96)+BB103+BB109+SUM(BB112:BB126)</f>
        <v>18127775.31774</v>
      </c>
    </row>
    <row r="132" spans="1:54" ht="12.75">
      <c r="A132" s="8" t="s">
        <v>125</v>
      </c>
      <c r="B132" s="10" t="s">
        <v>126</v>
      </c>
      <c r="C132" s="50">
        <v>1110171156</v>
      </c>
      <c r="D132" s="174">
        <v>1632.7856</v>
      </c>
      <c r="E132" s="174">
        <v>1683.4952</v>
      </c>
      <c r="F132" s="35">
        <v>40</v>
      </c>
      <c r="G132" s="175">
        <f t="shared" si="2"/>
        <v>50.70960000000014</v>
      </c>
      <c r="H132" s="33"/>
      <c r="I132" s="35">
        <f>G132*F132</f>
        <v>2028.3840000000055</v>
      </c>
      <c r="J132" s="24"/>
      <c r="K132" s="24"/>
      <c r="L132" s="24"/>
      <c r="M132" s="24"/>
      <c r="N132" s="24"/>
      <c r="O132" s="24"/>
      <c r="P132" s="24"/>
      <c r="Q132" s="24"/>
      <c r="R132" s="24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24"/>
      <c r="AU132" s="7"/>
      <c r="AV132" s="7"/>
      <c r="AW132" s="7"/>
      <c r="AX132" s="7"/>
      <c r="AY132" s="7"/>
      <c r="AZ132" s="124"/>
      <c r="BA132" s="7"/>
      <c r="BB132" s="7"/>
    </row>
    <row r="133" spans="1:54" ht="12.75">
      <c r="A133" s="9"/>
      <c r="B133" s="6" t="s">
        <v>114</v>
      </c>
      <c r="C133" s="31"/>
      <c r="D133" s="187"/>
      <c r="E133" s="79"/>
      <c r="F133" s="28"/>
      <c r="G133" s="80"/>
      <c r="H133" s="31"/>
      <c r="I133" s="28"/>
      <c r="J133" s="24"/>
      <c r="K133" s="24"/>
      <c r="L133" s="24"/>
      <c r="M133" s="24"/>
      <c r="N133" s="24"/>
      <c r="O133" s="24"/>
      <c r="P133" s="24"/>
      <c r="Q133" s="24"/>
      <c r="R133" s="24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24"/>
      <c r="AU133" s="7"/>
      <c r="AV133" s="7"/>
      <c r="AW133" s="7"/>
      <c r="AX133" s="7"/>
      <c r="AY133" s="7"/>
      <c r="AZ133" s="7"/>
      <c r="BA133" s="7"/>
      <c r="BB133" s="7"/>
    </row>
    <row r="134" spans="1:54" ht="12.75">
      <c r="A134" s="54"/>
      <c r="B134" s="15"/>
      <c r="C134" s="46"/>
      <c r="D134" s="52"/>
      <c r="E134" s="53"/>
      <c r="F134" s="53"/>
      <c r="G134" s="68" t="s">
        <v>136</v>
      </c>
      <c r="H134" s="16"/>
      <c r="I134" s="85">
        <f>SUM(I112:I133)+I107</f>
        <v>2260430.66399999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24" t="s">
        <v>288</v>
      </c>
      <c r="AU134" s="7"/>
      <c r="AV134" s="7"/>
      <c r="AW134" s="7"/>
      <c r="AX134" s="7"/>
      <c r="AY134" s="7"/>
      <c r="AZ134" s="7"/>
      <c r="BA134" s="7"/>
      <c r="BB134" s="7"/>
    </row>
    <row r="135" spans="1:54" ht="12.75">
      <c r="A135" s="8" t="s">
        <v>139</v>
      </c>
      <c r="B135" s="10" t="s">
        <v>137</v>
      </c>
      <c r="C135" s="55"/>
      <c r="D135" s="55"/>
      <c r="E135" s="56"/>
      <c r="F135" s="56"/>
      <c r="G135" s="57"/>
      <c r="H135" s="11"/>
      <c r="I135" s="58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24"/>
      <c r="AU135" s="7"/>
      <c r="AV135" s="7"/>
      <c r="AW135" s="7"/>
      <c r="AX135" s="7"/>
      <c r="AY135" s="7"/>
      <c r="AZ135" s="7"/>
      <c r="BA135" s="7"/>
      <c r="BB135" s="7"/>
    </row>
    <row r="136" spans="1:54" ht="12.75">
      <c r="A136" s="34"/>
      <c r="B136" s="23" t="s">
        <v>138</v>
      </c>
      <c r="C136" s="59"/>
      <c r="D136" s="46"/>
      <c r="E136" s="60"/>
      <c r="F136" s="60"/>
      <c r="G136" s="61"/>
      <c r="H136" s="13"/>
      <c r="I136" s="62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24" t="s">
        <v>43</v>
      </c>
      <c r="AU136" s="7"/>
      <c r="AV136" s="7"/>
      <c r="AW136" s="7"/>
      <c r="AX136" s="7"/>
      <c r="AY136" s="7"/>
      <c r="AZ136" s="7"/>
      <c r="BA136" s="7"/>
      <c r="BB136" s="7"/>
    </row>
    <row r="137" spans="1:54" ht="12.75">
      <c r="A137" s="10" t="s">
        <v>140</v>
      </c>
      <c r="B137" s="8" t="s">
        <v>233</v>
      </c>
      <c r="C137" s="153"/>
      <c r="D137" s="64"/>
      <c r="E137" s="64"/>
      <c r="F137" s="20"/>
      <c r="G137" s="65"/>
      <c r="H137" s="17"/>
      <c r="I137" s="20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24"/>
      <c r="AU137" s="7"/>
      <c r="AV137" s="7"/>
      <c r="AW137" s="7"/>
      <c r="AX137" s="7"/>
      <c r="AY137" s="7"/>
      <c r="AZ137" s="7"/>
      <c r="BA137" s="7"/>
      <c r="BB137" s="7"/>
    </row>
    <row r="138" spans="1:54" ht="12.75">
      <c r="A138" s="23"/>
      <c r="B138" s="34"/>
      <c r="C138" s="154">
        <v>611127627</v>
      </c>
      <c r="D138" s="151">
        <v>2564.0564</v>
      </c>
      <c r="E138" s="151">
        <v>2564.9724</v>
      </c>
      <c r="F138" s="20">
        <v>40</v>
      </c>
      <c r="G138" s="102">
        <f>E138-D138</f>
        <v>0.9160000000001673</v>
      </c>
      <c r="H138" s="20"/>
      <c r="I138" s="20">
        <f>ROUND(F138*G138+H138,0)</f>
        <v>37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24"/>
      <c r="AU138" s="7"/>
      <c r="AV138" s="7"/>
      <c r="AW138" s="7"/>
      <c r="AX138" s="7"/>
      <c r="AY138" s="7"/>
      <c r="AZ138" s="7"/>
      <c r="BA138" s="7"/>
      <c r="BB138" s="7"/>
    </row>
    <row r="139" spans="1:54" ht="12.75">
      <c r="A139" s="23"/>
      <c r="B139" s="9" t="s">
        <v>224</v>
      </c>
      <c r="C139" s="154"/>
      <c r="D139" s="155"/>
      <c r="E139" s="155"/>
      <c r="F139" s="20"/>
      <c r="G139" s="65"/>
      <c r="H139" s="20"/>
      <c r="I139" s="20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 t="s">
        <v>279</v>
      </c>
      <c r="AX139" s="7"/>
      <c r="AY139" s="7"/>
      <c r="AZ139" s="7"/>
      <c r="BA139" s="7"/>
      <c r="BB139" s="7"/>
    </row>
    <row r="140" spans="1:54" ht="12.75">
      <c r="A140" s="8" t="s">
        <v>143</v>
      </c>
      <c r="B140" s="25"/>
      <c r="C140" s="66">
        <v>810120245</v>
      </c>
      <c r="D140" s="151">
        <v>1341.9551</v>
      </c>
      <c r="E140" s="151">
        <v>1342.4411</v>
      </c>
      <c r="F140" s="20">
        <v>3600</v>
      </c>
      <c r="G140" s="102">
        <f aca="true" t="shared" si="3" ref="G140:G145">E140-D140</f>
        <v>0.4860000000001037</v>
      </c>
      <c r="H140" s="20"/>
      <c r="I140" s="20">
        <f aca="true" t="shared" si="4" ref="I140:I145">ROUND(F140*G140+H140,0)</f>
        <v>1750</v>
      </c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 t="s">
        <v>280</v>
      </c>
      <c r="AX140" s="7"/>
      <c r="AY140" s="7"/>
      <c r="AZ140" s="7"/>
      <c r="BA140" s="7"/>
      <c r="BB140" s="7"/>
    </row>
    <row r="141" spans="1:54" ht="12.75">
      <c r="A141" s="34"/>
      <c r="B141" s="25" t="s">
        <v>239</v>
      </c>
      <c r="C141" s="66"/>
      <c r="D141" s="151"/>
      <c r="E141" s="151"/>
      <c r="F141" s="20"/>
      <c r="G141" s="102"/>
      <c r="H141" s="4"/>
      <c r="I141" s="20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</row>
    <row r="142" spans="1:54" ht="12.75">
      <c r="A142" s="34"/>
      <c r="B142" s="25"/>
      <c r="C142" s="63">
        <v>4050284</v>
      </c>
      <c r="D142" s="81">
        <v>4333.4111</v>
      </c>
      <c r="E142" s="81">
        <v>4356.7139</v>
      </c>
      <c r="F142" s="20">
        <v>3600</v>
      </c>
      <c r="G142" s="103">
        <f t="shared" si="3"/>
        <v>23.30279999999948</v>
      </c>
      <c r="H142" s="4"/>
      <c r="I142" s="20">
        <f t="shared" si="4"/>
        <v>83890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</row>
    <row r="143" spans="1:54" ht="12.75">
      <c r="A143" s="9"/>
      <c r="B143" s="14"/>
      <c r="C143" s="63"/>
      <c r="D143" s="81"/>
      <c r="E143" s="81"/>
      <c r="F143" s="20"/>
      <c r="G143" s="103"/>
      <c r="H143" s="4"/>
      <c r="I143" s="20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</row>
    <row r="144" spans="1:54" ht="12.75">
      <c r="A144" s="34" t="s">
        <v>144</v>
      </c>
      <c r="B144" s="8" t="s">
        <v>110</v>
      </c>
      <c r="C144" s="17"/>
      <c r="D144" s="64"/>
      <c r="E144" s="64"/>
      <c r="F144" s="20"/>
      <c r="G144" s="65"/>
      <c r="H144" s="4"/>
      <c r="I144" s="20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</row>
    <row r="145" spans="1:54" ht="12.75">
      <c r="A145" s="156"/>
      <c r="B145" s="34" t="s">
        <v>109</v>
      </c>
      <c r="C145" s="154">
        <v>611127492</v>
      </c>
      <c r="D145" s="151">
        <v>6152.0268</v>
      </c>
      <c r="E145" s="151">
        <v>6224.1588</v>
      </c>
      <c r="F145" s="20">
        <v>20</v>
      </c>
      <c r="G145" s="102">
        <f t="shared" si="3"/>
        <v>72.13200000000052</v>
      </c>
      <c r="H145" s="20"/>
      <c r="I145" s="20">
        <f t="shared" si="4"/>
        <v>1443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</row>
    <row r="146" spans="1:54" ht="12.75">
      <c r="A146" s="10" t="s">
        <v>145</v>
      </c>
      <c r="B146" s="8" t="s">
        <v>234</v>
      </c>
      <c r="C146" s="158"/>
      <c r="D146" s="64"/>
      <c r="E146" s="64"/>
      <c r="F146" s="20"/>
      <c r="G146" s="65"/>
      <c r="H146" s="4"/>
      <c r="I146" s="20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</row>
    <row r="147" spans="1:54" ht="12.75">
      <c r="A147" s="157"/>
      <c r="B147" s="30" t="s">
        <v>274</v>
      </c>
      <c r="C147" s="154">
        <v>611127702</v>
      </c>
      <c r="D147" s="151">
        <v>7058.7004</v>
      </c>
      <c r="E147" s="151">
        <v>7075.3816</v>
      </c>
      <c r="F147" s="20">
        <v>60</v>
      </c>
      <c r="G147" s="102">
        <f>E147-D147</f>
        <v>16.68119999999999</v>
      </c>
      <c r="H147" s="4"/>
      <c r="I147" s="20">
        <f>ROUND(F147*G147+H147,0)</f>
        <v>1001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</row>
    <row r="148" spans="1:54" ht="12.75">
      <c r="A148" s="23"/>
      <c r="B148" s="30" t="s">
        <v>275</v>
      </c>
      <c r="C148" s="154">
        <v>611127555</v>
      </c>
      <c r="D148" s="151">
        <v>2221.8124</v>
      </c>
      <c r="E148" s="151">
        <v>2271.1908</v>
      </c>
      <c r="F148" s="20">
        <v>60</v>
      </c>
      <c r="G148" s="102">
        <f>E148-D148</f>
        <v>49.378400000000056</v>
      </c>
      <c r="H148" s="4"/>
      <c r="I148" s="20">
        <f>ROUND(F148*G148+H148,0)</f>
        <v>2963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</row>
    <row r="149" spans="1:54" ht="12.75">
      <c r="A149" s="10" t="s">
        <v>146</v>
      </c>
      <c r="B149" s="8" t="s">
        <v>235</v>
      </c>
      <c r="C149" s="159"/>
      <c r="D149" s="82"/>
      <c r="E149" s="82"/>
      <c r="F149" s="20"/>
      <c r="G149" s="65"/>
      <c r="H149" s="4"/>
      <c r="I149" s="20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</row>
    <row r="150" spans="1:54" ht="12.75">
      <c r="A150" s="157"/>
      <c r="B150" s="34"/>
      <c r="C150" s="154">
        <v>1110171163</v>
      </c>
      <c r="D150" s="81">
        <v>623.144</v>
      </c>
      <c r="E150" s="81">
        <v>624.2424</v>
      </c>
      <c r="F150" s="20">
        <v>60</v>
      </c>
      <c r="G150" s="102">
        <f>E150-D150</f>
        <v>1.0983999999999696</v>
      </c>
      <c r="H150" s="4"/>
      <c r="I150" s="20">
        <f>ROUND(F150*G150+H150,0)</f>
        <v>66</v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</row>
    <row r="151" spans="1:54" ht="12.75">
      <c r="A151" s="23"/>
      <c r="B151" s="34"/>
      <c r="C151" s="154"/>
      <c r="D151" s="64"/>
      <c r="E151" s="64"/>
      <c r="F151" s="20"/>
      <c r="G151" s="65"/>
      <c r="H151" s="4"/>
      <c r="I151" s="20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</row>
    <row r="152" spans="1:54" ht="12.75">
      <c r="A152" s="10" t="s">
        <v>147</v>
      </c>
      <c r="B152" s="8" t="s">
        <v>236</v>
      </c>
      <c r="C152" s="160"/>
      <c r="D152" s="82"/>
      <c r="E152" s="82"/>
      <c r="F152" s="20"/>
      <c r="G152" s="65"/>
      <c r="H152" s="4"/>
      <c r="I152" s="20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</row>
    <row r="153" spans="1:54" ht="12.75">
      <c r="A153" s="23"/>
      <c r="B153" s="34"/>
      <c r="C153" s="154">
        <v>1110171170</v>
      </c>
      <c r="D153" s="151">
        <v>210.8516</v>
      </c>
      <c r="E153" s="151">
        <v>218.4728</v>
      </c>
      <c r="F153" s="20">
        <v>40</v>
      </c>
      <c r="G153" s="102">
        <f>E153-D153</f>
        <v>7.621200000000016</v>
      </c>
      <c r="H153" s="20"/>
      <c r="I153" s="20">
        <f>ROUND(F153*G153+H153,0)</f>
        <v>305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</row>
    <row r="154" spans="1:54" ht="12.75">
      <c r="A154" s="23"/>
      <c r="B154" s="34"/>
      <c r="C154" s="154"/>
      <c r="D154" s="155"/>
      <c r="E154" s="155"/>
      <c r="F154" s="20"/>
      <c r="G154" s="65"/>
      <c r="H154" s="20"/>
      <c r="I154" s="20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</row>
    <row r="155" spans="1:54" ht="12.75">
      <c r="A155" s="8" t="s">
        <v>148</v>
      </c>
      <c r="B155" s="12" t="s">
        <v>269</v>
      </c>
      <c r="C155" s="154">
        <v>611126342</v>
      </c>
      <c r="D155" s="151">
        <v>6059.7548</v>
      </c>
      <c r="E155" s="151">
        <v>6059.7548</v>
      </c>
      <c r="F155" s="20">
        <v>1800</v>
      </c>
      <c r="G155" s="102">
        <f>E155-D155</f>
        <v>0</v>
      </c>
      <c r="H155" s="20"/>
      <c r="I155" s="20">
        <f>ROUND(F155*G155+H155,0)</f>
        <v>0</v>
      </c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</row>
    <row r="156" spans="1:54" ht="12.75">
      <c r="A156" s="34"/>
      <c r="B156" s="25" t="s">
        <v>225</v>
      </c>
      <c r="C156" s="154">
        <v>611126404</v>
      </c>
      <c r="D156" s="151">
        <v>916.3089</v>
      </c>
      <c r="E156" s="151">
        <v>924.5326</v>
      </c>
      <c r="F156" s="20">
        <v>1800</v>
      </c>
      <c r="G156" s="102">
        <f>E156-D156</f>
        <v>8.223700000000008</v>
      </c>
      <c r="H156" s="20"/>
      <c r="I156" s="20">
        <f>ROUND(F156*G156+H156,0)</f>
        <v>14803</v>
      </c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</row>
    <row r="157" spans="1:54" ht="12.75">
      <c r="A157" s="9"/>
      <c r="B157" s="14" t="s">
        <v>240</v>
      </c>
      <c r="C157" s="154">
        <v>611126334</v>
      </c>
      <c r="D157" s="151">
        <v>0.1356</v>
      </c>
      <c r="E157" s="151">
        <v>0.1356</v>
      </c>
      <c r="F157" s="20">
        <v>1800</v>
      </c>
      <c r="G157" s="102">
        <f>E157-D157</f>
        <v>0</v>
      </c>
      <c r="H157" s="4"/>
      <c r="I157" s="20">
        <f>ROUND(F157*G157+H157,0)</f>
        <v>0</v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</row>
    <row r="158" spans="1:54" ht="12.75">
      <c r="A158" s="23" t="s">
        <v>226</v>
      </c>
      <c r="B158" s="8" t="s">
        <v>237</v>
      </c>
      <c r="C158" s="154">
        <v>611127724</v>
      </c>
      <c r="D158" s="151">
        <v>688.3756</v>
      </c>
      <c r="E158" s="151">
        <v>699.85</v>
      </c>
      <c r="F158" s="20">
        <v>30</v>
      </c>
      <c r="G158" s="102">
        <f>E158-D158</f>
        <v>11.47440000000006</v>
      </c>
      <c r="H158" s="20"/>
      <c r="I158" s="20">
        <f>ROUND(F158*G158+H158,0)</f>
        <v>344</v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</row>
    <row r="159" spans="1:54" ht="12.75">
      <c r="A159" s="6"/>
      <c r="B159" s="34" t="s">
        <v>268</v>
      </c>
      <c r="C159" s="154"/>
      <c r="D159" s="155"/>
      <c r="E159" s="155"/>
      <c r="F159" s="20"/>
      <c r="G159" s="65"/>
      <c r="H159" s="20"/>
      <c r="I159" s="20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</row>
    <row r="160" spans="1:54" ht="12.75">
      <c r="A160" s="4"/>
      <c r="B160" s="161"/>
      <c r="C160" s="33"/>
      <c r="D160" s="155"/>
      <c r="E160" s="155"/>
      <c r="F160" s="20"/>
      <c r="G160" s="65"/>
      <c r="H160" s="20"/>
      <c r="I160" s="20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</row>
    <row r="161" spans="1:54" ht="12.75">
      <c r="A161" s="6"/>
      <c r="B161" s="13"/>
      <c r="C161" s="15"/>
      <c r="D161" s="15"/>
      <c r="E161" s="15"/>
      <c r="F161" s="15" t="s">
        <v>149</v>
      </c>
      <c r="G161" s="15"/>
      <c r="H161" s="16"/>
      <c r="I161" s="85">
        <f>SUM(I137:I159)-I160</f>
        <v>106602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</row>
    <row r="162" spans="1:54" ht="12.75">
      <c r="A162" s="5"/>
      <c r="B162" s="15"/>
      <c r="C162" s="15"/>
      <c r="D162" s="15"/>
      <c r="E162" s="15"/>
      <c r="F162" s="15"/>
      <c r="G162" s="15" t="s">
        <v>150</v>
      </c>
      <c r="H162" s="16"/>
      <c r="I162" s="85">
        <f>I103+I104+I107+I108+I109+I110-I134-I161</f>
        <v>2805525.635999979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</row>
    <row r="163" spans="1:54" ht="12.75">
      <c r="A163" s="4" t="s">
        <v>157</v>
      </c>
      <c r="B163" s="5" t="s">
        <v>151</v>
      </c>
      <c r="C163" s="15"/>
      <c r="D163" s="15"/>
      <c r="E163" s="15"/>
      <c r="F163" s="15"/>
      <c r="G163" s="15"/>
      <c r="H163" s="15"/>
      <c r="I163" s="16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</row>
    <row r="164" spans="1:54" ht="12.75">
      <c r="A164" s="8" t="s">
        <v>155</v>
      </c>
      <c r="B164" s="8" t="s">
        <v>152</v>
      </c>
      <c r="C164" s="33">
        <v>18705639</v>
      </c>
      <c r="D164" s="170">
        <v>38</v>
      </c>
      <c r="E164" s="170">
        <v>38</v>
      </c>
      <c r="F164" s="35">
        <v>30</v>
      </c>
      <c r="G164" s="171">
        <f>E164-D164</f>
        <v>0</v>
      </c>
      <c r="H164" s="8"/>
      <c r="I164" s="35">
        <f>F164*G164+H164</f>
        <v>0</v>
      </c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</row>
    <row r="165" spans="1:54" ht="12.75">
      <c r="A165" s="9"/>
      <c r="B165" s="9" t="s">
        <v>153</v>
      </c>
      <c r="C165" s="31"/>
      <c r="D165" s="9"/>
      <c r="E165" s="9"/>
      <c r="F165" s="28"/>
      <c r="G165" s="9"/>
      <c r="H165" s="9"/>
      <c r="I165" s="9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</row>
    <row r="166" spans="1:54" ht="12.75">
      <c r="A166" s="8" t="s">
        <v>156</v>
      </c>
      <c r="B166" s="8" t="s">
        <v>154</v>
      </c>
      <c r="C166" s="33">
        <v>18705843</v>
      </c>
      <c r="D166" s="170">
        <v>204.4</v>
      </c>
      <c r="E166" s="170">
        <v>204.4</v>
      </c>
      <c r="F166" s="35">
        <v>30</v>
      </c>
      <c r="G166" s="83">
        <f>E166-D166</f>
        <v>0</v>
      </c>
      <c r="H166" s="8"/>
      <c r="I166" s="35">
        <f>F166*G166+H166</f>
        <v>0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</row>
    <row r="167" spans="1:54" ht="12.75">
      <c r="A167" s="9"/>
      <c r="B167" s="9" t="s">
        <v>153</v>
      </c>
      <c r="C167" s="31"/>
      <c r="D167" s="9"/>
      <c r="E167" s="9"/>
      <c r="F167" s="28"/>
      <c r="G167" s="9"/>
      <c r="H167" s="9"/>
      <c r="I167" s="9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</row>
    <row r="168" spans="1:54" ht="12.75">
      <c r="A168" s="5"/>
      <c r="B168" s="15"/>
      <c r="C168" s="69"/>
      <c r="D168" s="52"/>
      <c r="E168" s="70"/>
      <c r="F168" s="70" t="s">
        <v>158</v>
      </c>
      <c r="G168" s="71"/>
      <c r="H168" s="16"/>
      <c r="I168" s="20">
        <f>I164+I166</f>
        <v>0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</row>
    <row r="169" spans="1:54" ht="12.75">
      <c r="A169" s="5"/>
      <c r="B169" s="15"/>
      <c r="C169" s="69"/>
      <c r="D169" s="52"/>
      <c r="E169" s="70"/>
      <c r="F169" s="70"/>
      <c r="G169" s="71" t="s">
        <v>159</v>
      </c>
      <c r="H169" s="16"/>
      <c r="I169" s="85">
        <f>I162+I168</f>
        <v>2805525.635999979</v>
      </c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</row>
    <row r="170" spans="1:54" ht="12.75">
      <c r="A170" s="10" t="s">
        <v>160</v>
      </c>
      <c r="B170" s="11"/>
      <c r="C170" s="72"/>
      <c r="D170" s="55"/>
      <c r="E170" s="73"/>
      <c r="F170" s="73"/>
      <c r="G170" s="57"/>
      <c r="H170" s="11"/>
      <c r="I170" s="58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</row>
    <row r="171" spans="1:54" ht="12.75">
      <c r="A171" s="74" t="s">
        <v>282</v>
      </c>
      <c r="B171" s="75"/>
      <c r="C171" s="75"/>
      <c r="D171" s="46"/>
      <c r="E171" s="13"/>
      <c r="F171" s="13"/>
      <c r="G171" s="13"/>
      <c r="H171" s="13"/>
      <c r="I171" s="6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</row>
    <row r="172" spans="1:54" ht="12.75">
      <c r="A172" s="24" t="s">
        <v>163</v>
      </c>
      <c r="B172" s="24"/>
      <c r="C172" s="114"/>
      <c r="D172" s="38"/>
      <c r="E172" s="115"/>
      <c r="F172" s="115"/>
      <c r="G172" s="43"/>
      <c r="H172" s="24"/>
      <c r="I172" s="45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</row>
    <row r="173" spans="1:54" ht="12.75">
      <c r="A173" s="24"/>
      <c r="B173" s="24"/>
      <c r="C173" s="38"/>
      <c r="D173" s="162" t="s">
        <v>164</v>
      </c>
      <c r="E173" s="162"/>
      <c r="F173" s="163"/>
      <c r="G173" s="93"/>
      <c r="H173" s="93"/>
      <c r="I173" s="44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</row>
    <row r="174" spans="1:54" ht="12.75">
      <c r="A174" s="24"/>
      <c r="B174" s="24"/>
      <c r="C174" s="38"/>
      <c r="D174" s="162" t="s">
        <v>261</v>
      </c>
      <c r="E174" s="162"/>
      <c r="F174" s="163"/>
      <c r="G174" s="93"/>
      <c r="H174" s="93"/>
      <c r="I174" s="44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</row>
    <row r="175" spans="1:54" ht="12.75">
      <c r="A175" s="24"/>
      <c r="B175" s="24"/>
      <c r="C175" s="114"/>
      <c r="D175" s="162" t="s">
        <v>283</v>
      </c>
      <c r="E175" s="162"/>
      <c r="F175" s="163"/>
      <c r="G175" s="93"/>
      <c r="H175" s="93"/>
      <c r="I175" s="44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</row>
    <row r="176" spans="1:54" ht="12.75">
      <c r="A176" s="24"/>
      <c r="B176" s="24"/>
      <c r="C176" s="24"/>
      <c r="D176" s="24"/>
      <c r="E176" s="24"/>
      <c r="F176" s="24"/>
      <c r="G176" s="24"/>
      <c r="H176" s="24"/>
      <c r="I176" s="24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</row>
    <row r="177" spans="1:54" ht="12.75">
      <c r="A177" s="24"/>
      <c r="B177" s="24"/>
      <c r="C177" s="24"/>
      <c r="D177" s="24"/>
      <c r="E177" s="24"/>
      <c r="F177" s="24"/>
      <c r="G177" s="24"/>
      <c r="H177" s="24"/>
      <c r="I177" s="24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 t="s">
        <v>250</v>
      </c>
      <c r="BA177" s="7"/>
      <c r="BB177" s="7"/>
    </row>
    <row r="178" spans="1:54" ht="12.75">
      <c r="A178" s="24"/>
      <c r="B178" s="24"/>
      <c r="C178" s="164"/>
      <c r="D178" s="165"/>
      <c r="E178" s="165"/>
      <c r="F178" s="37"/>
      <c r="G178" s="166"/>
      <c r="H178" s="24"/>
      <c r="I178" s="3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 t="s">
        <v>244</v>
      </c>
      <c r="BA178" s="7" t="s">
        <v>23</v>
      </c>
      <c r="BB178" s="7"/>
    </row>
    <row r="179" spans="1:54" ht="12.75">
      <c r="A179" s="93"/>
      <c r="B179" s="24"/>
      <c r="C179" s="164"/>
      <c r="D179" s="165"/>
      <c r="E179" s="165"/>
      <c r="F179" s="37"/>
      <c r="G179" s="166"/>
      <c r="H179" s="24"/>
      <c r="I179" s="3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 t="s">
        <v>241</v>
      </c>
      <c r="AZ179" s="150">
        <f>AZ183+AZ184+AZ185</f>
        <v>2994683</v>
      </c>
      <c r="BA179" s="178">
        <f>AZ179*2.9</f>
        <v>8684580.7</v>
      </c>
      <c r="BB179" s="7"/>
    </row>
    <row r="180" spans="1:54" ht="12.75">
      <c r="A180" s="24"/>
      <c r="B180" s="24"/>
      <c r="C180" s="24"/>
      <c r="D180" s="24"/>
      <c r="E180" s="24"/>
      <c r="F180" s="24"/>
      <c r="G180" s="24"/>
      <c r="H180" s="24"/>
      <c r="I180" s="24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 t="s">
        <v>242</v>
      </c>
      <c r="AZ180" s="150">
        <f>AZ187-AZ179-AZ181</f>
        <v>2547999</v>
      </c>
      <c r="BA180" s="178">
        <f>AZ180*2.9</f>
        <v>7389197.1</v>
      </c>
      <c r="BB180" s="7"/>
    </row>
    <row r="181" spans="1:54" ht="12.75">
      <c r="A181" s="24"/>
      <c r="B181" s="24"/>
      <c r="C181" s="24"/>
      <c r="D181" s="24"/>
      <c r="E181" s="24"/>
      <c r="F181" s="24"/>
      <c r="G181" s="24"/>
      <c r="H181" s="24"/>
      <c r="I181" s="24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 t="s">
        <v>243</v>
      </c>
      <c r="AZ181" s="150">
        <f>AZ186</f>
        <v>163780</v>
      </c>
      <c r="BA181" s="178">
        <f>AZ181*2.9</f>
        <v>474962</v>
      </c>
      <c r="BB181" s="7"/>
    </row>
    <row r="182" spans="52:53" ht="12.75">
      <c r="AZ182" s="176"/>
      <c r="BA182" s="176"/>
    </row>
    <row r="183" spans="51:53" ht="12.75">
      <c r="AY183" s="7" t="s">
        <v>245</v>
      </c>
      <c r="AZ183" s="177">
        <v>2742934</v>
      </c>
      <c r="BA183" s="176"/>
    </row>
    <row r="184" spans="51:53" ht="12.75">
      <c r="AY184" s="7" t="s">
        <v>246</v>
      </c>
      <c r="AZ184" s="177">
        <f>AZ95</f>
        <v>69896</v>
      </c>
      <c r="BA184" s="176"/>
    </row>
    <row r="185" spans="51:53" ht="12.75">
      <c r="AY185" s="7" t="s">
        <v>248</v>
      </c>
      <c r="AZ185" s="177">
        <v>181853</v>
      </c>
      <c r="BA185" s="176"/>
    </row>
    <row r="186" spans="51:53" ht="12.75">
      <c r="AY186" s="7" t="s">
        <v>249</v>
      </c>
      <c r="AZ186" s="177">
        <v>163780</v>
      </c>
      <c r="BA186" s="176"/>
    </row>
    <row r="187" spans="51:52" ht="12.75">
      <c r="AY187" s="7" t="s">
        <v>247</v>
      </c>
      <c r="AZ187" s="177">
        <f>AZ131</f>
        <v>5706462</v>
      </c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88"/>
      <c r="E196" s="188"/>
      <c r="F196" s="188"/>
      <c r="G196" s="188"/>
      <c r="H196" s="188"/>
      <c r="I196" s="20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19" spans="1:9" ht="12.75">
      <c r="A219" s="8"/>
      <c r="B219" s="33"/>
      <c r="C219" s="8"/>
      <c r="D219" s="76"/>
      <c r="E219" s="77"/>
      <c r="F219" s="8"/>
      <c r="G219" s="8"/>
      <c r="H219" s="8"/>
      <c r="I219" s="8"/>
    </row>
    <row r="220" spans="1:9" ht="12.75">
      <c r="A220" s="34"/>
      <c r="B220" s="34"/>
      <c r="C220" s="34"/>
      <c r="D220" s="8"/>
      <c r="E220" s="10"/>
      <c r="F220" s="34"/>
      <c r="G220" s="34"/>
      <c r="H220" s="34"/>
      <c r="I220" s="34"/>
    </row>
    <row r="221" spans="1:9" ht="12.75">
      <c r="A221" s="9"/>
      <c r="B221" s="9"/>
      <c r="C221" s="9"/>
      <c r="D221" s="9"/>
      <c r="E221" s="6"/>
      <c r="F221" s="9"/>
      <c r="G221" s="9"/>
      <c r="H221" s="9"/>
      <c r="I221" s="9"/>
    </row>
    <row r="222" spans="1:9" ht="12.75">
      <c r="A222" s="17"/>
      <c r="B222" s="17"/>
      <c r="C222" s="17"/>
      <c r="D222" s="17"/>
      <c r="E222" s="17"/>
      <c r="F222" s="17"/>
      <c r="G222" s="17"/>
      <c r="H222" s="17"/>
      <c r="I222" s="17"/>
    </row>
    <row r="223" spans="1:9" ht="12.75">
      <c r="A223" s="6"/>
      <c r="B223" s="13"/>
      <c r="C223" s="169"/>
      <c r="D223" s="169"/>
      <c r="E223" s="13"/>
      <c r="F223" s="13"/>
      <c r="G223" s="13"/>
      <c r="H223" s="13"/>
      <c r="I223" s="14"/>
    </row>
    <row r="224" spans="1:9" ht="12.75">
      <c r="A224" s="4"/>
      <c r="B224" s="5"/>
      <c r="C224" s="15"/>
      <c r="D224" s="15"/>
      <c r="E224" s="15"/>
      <c r="F224" s="15"/>
      <c r="G224" s="15"/>
      <c r="H224" s="15"/>
      <c r="I224" s="16"/>
    </row>
    <row r="225" spans="1:9" ht="12.75">
      <c r="A225" s="33"/>
      <c r="B225" s="8"/>
      <c r="C225" s="50"/>
      <c r="D225" s="81"/>
      <c r="E225" s="81"/>
      <c r="F225" s="20"/>
      <c r="G225" s="102"/>
      <c r="H225" s="4"/>
      <c r="I225" s="20"/>
    </row>
    <row r="226" spans="1:9" ht="12.75">
      <c r="A226" s="9"/>
      <c r="B226" s="6"/>
      <c r="C226" s="66"/>
      <c r="D226" s="81"/>
      <c r="E226" s="81"/>
      <c r="F226" s="20"/>
      <c r="G226" s="102"/>
      <c r="H226" s="4"/>
      <c r="I226" s="20"/>
    </row>
    <row r="227" spans="1:9" ht="12.75">
      <c r="A227" s="5"/>
      <c r="B227" s="15"/>
      <c r="C227" s="13"/>
      <c r="D227" s="15"/>
      <c r="E227" s="15"/>
      <c r="F227" s="67"/>
      <c r="G227" s="15"/>
      <c r="H227" s="16"/>
      <c r="I227" s="20"/>
    </row>
    <row r="228" spans="1:9" ht="12.75">
      <c r="A228" s="4"/>
      <c r="B228" s="5"/>
      <c r="C228" s="15"/>
      <c r="D228" s="15"/>
      <c r="E228" s="15"/>
      <c r="F228" s="15"/>
      <c r="G228" s="15"/>
      <c r="H228" s="15"/>
      <c r="I228" s="16"/>
    </row>
    <row r="229" spans="1:9" ht="12.75">
      <c r="A229" s="4"/>
      <c r="B229" s="4"/>
      <c r="C229" s="66"/>
      <c r="D229" s="81"/>
      <c r="E229" s="81"/>
      <c r="F229" s="20"/>
      <c r="G229" s="102"/>
      <c r="H229" s="4"/>
      <c r="I229" s="20"/>
    </row>
    <row r="230" spans="1:9" ht="12.75">
      <c r="A230" s="4"/>
      <c r="B230" s="15"/>
      <c r="C230" s="13"/>
      <c r="D230" s="15"/>
      <c r="E230" s="15"/>
      <c r="F230" s="67"/>
      <c r="G230" s="15"/>
      <c r="H230" s="16"/>
      <c r="I230" s="20"/>
    </row>
    <row r="231" spans="1:9" ht="12.75">
      <c r="A231" s="4"/>
      <c r="B231" s="5"/>
      <c r="C231" s="15"/>
      <c r="D231" s="15"/>
      <c r="E231" s="15"/>
      <c r="F231" s="15"/>
      <c r="G231" s="15"/>
      <c r="H231" s="16"/>
      <c r="I231" s="130"/>
    </row>
    <row r="232" spans="1:9" ht="12.75">
      <c r="A232" s="5"/>
      <c r="B232" s="5"/>
      <c r="C232" s="179"/>
      <c r="D232" s="180"/>
      <c r="E232" s="180"/>
      <c r="F232" s="181"/>
      <c r="G232" s="182"/>
      <c r="H232" s="16"/>
      <c r="I232" s="130"/>
    </row>
    <row r="233" spans="1:9" ht="12.75">
      <c r="A233" s="4"/>
      <c r="B233" s="5"/>
      <c r="C233" s="15"/>
      <c r="D233" s="15"/>
      <c r="E233" s="15"/>
      <c r="F233" s="15"/>
      <c r="G233" s="15"/>
      <c r="H233" s="15"/>
      <c r="I233" s="16"/>
    </row>
    <row r="234" spans="1:9" ht="12.75">
      <c r="A234" s="8"/>
      <c r="B234" s="8"/>
      <c r="C234" s="50"/>
      <c r="D234" s="33"/>
      <c r="E234" s="33"/>
      <c r="F234" s="35"/>
      <c r="G234" s="33"/>
      <c r="H234" s="33"/>
      <c r="I234" s="33"/>
    </row>
    <row r="235" spans="1:9" ht="12.75">
      <c r="A235" s="9"/>
      <c r="B235" s="9"/>
      <c r="C235" s="51"/>
      <c r="D235" s="172"/>
      <c r="E235" s="172"/>
      <c r="F235" s="28"/>
      <c r="G235" s="173"/>
      <c r="H235" s="28"/>
      <c r="I235" s="28"/>
    </row>
    <row r="236" spans="1:9" ht="12.75">
      <c r="A236" s="8"/>
      <c r="B236" s="8"/>
      <c r="C236" s="50"/>
      <c r="D236" s="174"/>
      <c r="E236" s="174"/>
      <c r="F236" s="35"/>
      <c r="G236" s="175"/>
      <c r="H236" s="33"/>
      <c r="I236" s="35"/>
    </row>
    <row r="237" spans="1:9" ht="12.75">
      <c r="A237" s="9"/>
      <c r="B237" s="9"/>
      <c r="C237" s="31"/>
      <c r="D237" s="79"/>
      <c r="E237" s="79"/>
      <c r="F237" s="28"/>
      <c r="G237" s="78"/>
      <c r="H237" s="31"/>
      <c r="I237" s="28"/>
    </row>
  </sheetData>
  <sheetProtection/>
  <printOptions/>
  <pageMargins left="0.7874015748031497" right="0.1968503937007874" top="0.1968503937007874" bottom="0.1968503937007874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главного энергетика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Гришанов Игорь Владимирович</dc:creator>
  <cp:keywords/>
  <dc:description/>
  <cp:lastModifiedBy>Сергей Ю. Ничков</cp:lastModifiedBy>
  <cp:lastPrinted>2021-02-03T10:40:33Z</cp:lastPrinted>
  <dcterms:created xsi:type="dcterms:W3CDTF">1997-07-03T12:02:26Z</dcterms:created>
  <dcterms:modified xsi:type="dcterms:W3CDTF">2021-02-10T07:44:42Z</dcterms:modified>
  <cp:category/>
  <cp:version/>
  <cp:contentType/>
  <cp:contentStatus/>
</cp:coreProperties>
</file>