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<sst xmlns="http://schemas.openxmlformats.org/spreadsheetml/2006/main" count="1494" uniqueCount="303">
  <si>
    <t xml:space="preserve">   </t>
  </si>
  <si>
    <t xml:space="preserve">электроэнергии по подразделениям за  </t>
  </si>
  <si>
    <t>Склады</t>
  </si>
  <si>
    <t>ВСЕГО :</t>
  </si>
  <si>
    <t>Директор филиала центральный сбытом</t>
  </si>
  <si>
    <t>Наружное освещение</t>
  </si>
  <si>
    <t>2. ТРАНЗИТ НА СТОРОНУ,  всего :</t>
  </si>
  <si>
    <t xml:space="preserve">                                      </t>
  </si>
  <si>
    <t xml:space="preserve">                                                6) участок ХВО</t>
  </si>
  <si>
    <t xml:space="preserve">         ВСЕГО ПО ПОДСТАНЦИИ, в том числе :</t>
  </si>
  <si>
    <t>февраль</t>
  </si>
  <si>
    <t>март</t>
  </si>
  <si>
    <t xml:space="preserve">  в рублях</t>
  </si>
  <si>
    <t xml:space="preserve">  без НДС</t>
  </si>
  <si>
    <t>ИП Черемискин О.И.</t>
  </si>
  <si>
    <t>ЭЭЦ, всего :</t>
  </si>
  <si>
    <t xml:space="preserve">                     в том числе :  1) котельные</t>
  </si>
  <si>
    <t xml:space="preserve">                                               2) сжатый воздух</t>
  </si>
  <si>
    <t xml:space="preserve">                                               3) вода техническая</t>
  </si>
  <si>
    <t xml:space="preserve">                                               4) электро-ремонтное отделение</t>
  </si>
  <si>
    <t xml:space="preserve">                                                5) участок УСП</t>
  </si>
  <si>
    <t xml:space="preserve">                                                в том числе :   1) АТУ</t>
  </si>
  <si>
    <t xml:space="preserve">                                                                          2) ЖДУ</t>
  </si>
  <si>
    <t xml:space="preserve">    </t>
  </si>
  <si>
    <t xml:space="preserve">Наименование подразделений </t>
  </si>
  <si>
    <t>сумма, руб.</t>
  </si>
  <si>
    <t>ЛЭП "БИЗ"</t>
  </si>
  <si>
    <t>КЛ "Посёлок 1"</t>
  </si>
  <si>
    <t>КЛ "Посёлок 2"</t>
  </si>
  <si>
    <t>КЛ "Посёлок 3"</t>
  </si>
  <si>
    <t>КЛ "Посёлок 4"</t>
  </si>
  <si>
    <t>КЛ "Посёлок 5"</t>
  </si>
  <si>
    <t>ВЛ "Скважина-1"</t>
  </si>
  <si>
    <t>ВЛ "Скважина-2"</t>
  </si>
  <si>
    <t>ВЛ "Ключи"</t>
  </si>
  <si>
    <t>КЛ "Очистные-1"</t>
  </si>
  <si>
    <t>КЛ "Очистные-2"</t>
  </si>
  <si>
    <t>КЛ ул. "Заводская"</t>
  </si>
  <si>
    <t>Л.И. Сидорина</t>
  </si>
  <si>
    <t>______________</t>
  </si>
  <si>
    <t>ООО ПКП "Астер-Строй"</t>
  </si>
  <si>
    <t>Итого по всем потребителям</t>
  </si>
  <si>
    <t xml:space="preserve">1.ОАО "Межрегиональная распределительная сетева компания Урала": </t>
  </si>
  <si>
    <t xml:space="preserve">   с сетей посёлка :  общежитие, ( ул. Молодёжная) день</t>
  </si>
  <si>
    <t xml:space="preserve">                                    общежитие, ( ул. Молодёжная ) ночь</t>
  </si>
  <si>
    <t>Главный энергетик                                                                                            С.Ю. Ничков</t>
  </si>
  <si>
    <t>себестоимость за по УСП</t>
  </si>
  <si>
    <t>1.1</t>
  </si>
  <si>
    <t>1.2</t>
  </si>
  <si>
    <t>1.3</t>
  </si>
  <si>
    <t>1.4</t>
  </si>
  <si>
    <t>Согласован объём транзита ОАО "Свердловэнергосбыт"</t>
  </si>
  <si>
    <t>м.п.</t>
  </si>
  <si>
    <t xml:space="preserve">            ____________</t>
  </si>
  <si>
    <t xml:space="preserve">        С.Ю. Ничков</t>
  </si>
  <si>
    <t>1.5</t>
  </si>
  <si>
    <t>ЦЗЛ</t>
  </si>
  <si>
    <t xml:space="preserve">                                              5) УРГПМО</t>
  </si>
  <si>
    <t>ОАО "Газпромнефть-Урал" (АЗС № 20)</t>
  </si>
  <si>
    <t>1.6</t>
  </si>
  <si>
    <t>Одинокова С.Ю.</t>
  </si>
  <si>
    <t>ОАО "МРСК-Урала" (ОП ЗЭС), в т.ч. :</t>
  </si>
  <si>
    <t>1.7</t>
  </si>
  <si>
    <t>1.8</t>
  </si>
  <si>
    <t>1.9</t>
  </si>
  <si>
    <t>1.10</t>
  </si>
  <si>
    <t>1.11</t>
  </si>
  <si>
    <t>1.12</t>
  </si>
  <si>
    <t>ОАО "Свердловэнергосбыт"</t>
  </si>
  <si>
    <t>ООО "Фитакс"</t>
  </si>
  <si>
    <t xml:space="preserve">      </t>
  </si>
  <si>
    <t xml:space="preserve">с сетей завода :                                                                              </t>
  </si>
  <si>
    <t>Кол-во (кВтч)</t>
  </si>
  <si>
    <t>руб./кВт*ч</t>
  </si>
  <si>
    <t xml:space="preserve">    кВт*ч</t>
  </si>
  <si>
    <t xml:space="preserve"> а) в том числе:</t>
  </si>
  <si>
    <t xml:space="preserve">за оплачиваемый расход электроэнергии по СН-2, руб/кВт*ч  </t>
  </si>
  <si>
    <t>за оплачиваемый расход электроэнергии по ВН, руб./кВт*ч</t>
  </si>
  <si>
    <t xml:space="preserve">общежитие,  ул. Клубная - 2а, кв. № 4 </t>
  </si>
  <si>
    <t xml:space="preserve">               тариф на содержание сетей  ВН ( МВт )</t>
  </si>
  <si>
    <t xml:space="preserve">               тариф на оплату потерь ВН ( МВт*ч )</t>
  </si>
  <si>
    <t xml:space="preserve">                тариф на содержание сетей СН- 2 ( МВт )</t>
  </si>
  <si>
    <t xml:space="preserve">                тариф на оплату потерь СН- 2 ( МВт*ч )</t>
  </si>
  <si>
    <t>(доверенность от 12.12.2012 г.   № СЭСБ - 308 )</t>
  </si>
  <si>
    <t>Все шесть потребителей покупающие электрическую энергию в ОАО "Свердловэнергосбыт"</t>
  </si>
  <si>
    <t>показаний</t>
  </si>
  <si>
    <t>Расход,</t>
  </si>
  <si>
    <t>Приложение № 6.1.</t>
  </si>
  <si>
    <t>к договору энергоснабжения от 02.10.2012 г. №640 К66</t>
  </si>
  <si>
    <t>Акт снятия показаний приборов учёта</t>
  </si>
  <si>
    <t>Исполнитель: главный энергетик Ничков С.Ю.</t>
  </si>
  <si>
    <t>телефон: (343) 372-13-55</t>
  </si>
  <si>
    <t>Адрес: 624013, Свердловская область, Сысертский район, п.Двуреченск</t>
  </si>
  <si>
    <t>Точка учёта</t>
  </si>
  <si>
    <t>№ счётчика</t>
  </si>
  <si>
    <t>Коэф.</t>
  </si>
  <si>
    <t>Потери</t>
  </si>
  <si>
    <t>на начало</t>
  </si>
  <si>
    <t>на конец</t>
  </si>
  <si>
    <t>трансфор-</t>
  </si>
  <si>
    <t>кВт*ч</t>
  </si>
  <si>
    <t>периода</t>
  </si>
  <si>
    <t>мации</t>
  </si>
  <si>
    <t>Активная электрическая энергия</t>
  </si>
  <si>
    <t>Сысертский ГО</t>
  </si>
  <si>
    <t>от сетей ОАО "МРСК Урала"</t>
  </si>
  <si>
    <t>Итого по вводам ПС "Ключи"</t>
  </si>
  <si>
    <t>1.1.</t>
  </si>
  <si>
    <t>в том числе: транзит электрической энергии в сети ОАО "МРСК-Урала" (ТСО) (невычитаемый)</t>
  </si>
  <si>
    <t>1.1.1.</t>
  </si>
  <si>
    <t>ВЛ-35 кВ, "БИЗ-Ключи"</t>
  </si>
  <si>
    <t xml:space="preserve">(АЗС №20)                                                  </t>
  </si>
  <si>
    <t xml:space="preserve">ОАО "Газпромнефть-Урал"                  </t>
  </si>
  <si>
    <t>1.2.</t>
  </si>
  <si>
    <t>в том числе: транзит электрической энергии в сети ОАО "МРСК-Урала" (ТСО)</t>
  </si>
  <si>
    <t>1.2.1.</t>
  </si>
  <si>
    <t>бытовые и прочие потребители,</t>
  </si>
  <si>
    <t>1.2.2.</t>
  </si>
  <si>
    <t>(ф."Ключи"), Жилищно-коммунальные,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</si>
  <si>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</si>
  <si>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</si>
  <si>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</si>
  <si>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</si>
  <si>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</si>
  <si>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</si>
  <si>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</si>
  <si>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</si>
  <si>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</si>
  <si>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(ф."Заводская"), Жилищно-коммунальные,</t>
  </si>
  <si>
    <t>(ф."Посёлок-1,7"), Жилищно-коммунальные,</t>
  </si>
  <si>
    <t>(ф."Посёлок-2"), Жилищно-коммунальные,</t>
  </si>
  <si>
    <t>(ф."Посёлок-3"), Жилищно-коммунальные,</t>
  </si>
  <si>
    <t>(ф."Посёлок-4"), Жилищно-коммунальные,</t>
  </si>
  <si>
    <t>(ф."Посёлок-5,6"), Жилищно-коммунальные,</t>
  </si>
  <si>
    <t>(ф."Скважина-1"), Жилищно-коммунальные,</t>
  </si>
  <si>
    <t>(ф."Скважина-2"), Жилищно-коммунальные,</t>
  </si>
  <si>
    <t>(ф."Очистные-1"), Жилищно-коммунальные,</t>
  </si>
  <si>
    <t>(ф."Очистные-2"), Жилищно-коммунальные,</t>
  </si>
  <si>
    <t>Итого транзит в сети</t>
  </si>
  <si>
    <t>в том числе: транзит электрической энергии транзитным Потребителям, имеющим непосредственное технологическое присоединение к сетям</t>
  </si>
  <si>
    <t>Потребителя и заключившим прямые договоры электроснабжения с Гарантирующим поставщиком</t>
  </si>
  <si>
    <t>1.3.</t>
  </si>
  <si>
    <t>1.3.1.</t>
  </si>
  <si>
    <t>Производственные объекты по адресу:</t>
  </si>
  <si>
    <t xml:space="preserve">Сысертский район, п.Двуреченск </t>
  </si>
  <si>
    <t>1.3.2.</t>
  </si>
  <si>
    <t>1.3.3.</t>
  </si>
  <si>
    <t>1.3.4.</t>
  </si>
  <si>
    <t>1.3.5.</t>
  </si>
  <si>
    <t>1.3.6.</t>
  </si>
  <si>
    <t>1.3.7.</t>
  </si>
  <si>
    <t>Итого транзит Потребителям ГП</t>
  </si>
  <si>
    <t>Итого ПС "Ключи"</t>
  </si>
  <si>
    <t>от сетей ОАО "МРСК-Урала"</t>
  </si>
  <si>
    <t>ТП "Береговая насосная" (ввод №1)</t>
  </si>
  <si>
    <t>по адресу: п.Двуреченск, ул.Ленина</t>
  </si>
  <si>
    <t>ТП "Береговая насосная" (ввод №2)</t>
  </si>
  <si>
    <t>2.1.</t>
  </si>
  <si>
    <t>2.2.</t>
  </si>
  <si>
    <t>2.</t>
  </si>
  <si>
    <t>Итого ТП "Береговая насосная"</t>
  </si>
  <si>
    <t>Итого по договору</t>
  </si>
  <si>
    <t>Потребитель:</t>
  </si>
  <si>
    <t>ООО НПО "Изостер"</t>
  </si>
  <si>
    <t>Все потребители покупающие электрическую энергию в ОАО "Свердловэнергосбыт"</t>
  </si>
  <si>
    <t>Настоящее Приложение является неотьемлемой частью Договора энергоснабжения от 02.10.2012 г. № 640 К66</t>
  </si>
  <si>
    <t>от Потребителя:</t>
  </si>
  <si>
    <t>мп</t>
  </si>
  <si>
    <t>___________________ С.Ю. Ничков</t>
  </si>
  <si>
    <t xml:space="preserve">         Показания счётчиков</t>
  </si>
  <si>
    <t>Реактивная электрическая энергия</t>
  </si>
  <si>
    <t>Приложение № 4</t>
  </si>
  <si>
    <t>к договору электроснабжения от 02.10.2012 г. №640</t>
  </si>
  <si>
    <t>Квартира №4, в жилом здании по адресу:</t>
  </si>
  <si>
    <t>п.Двуреченск, ул. Клубная, 2А</t>
  </si>
  <si>
    <t>п.Двуреченск, ул. Молодёжная, д.3     (ночь)</t>
  </si>
  <si>
    <t>Жилое здание по адресу:                        (день)</t>
  </si>
  <si>
    <t>Здравпункт</t>
  </si>
  <si>
    <t>ФЦ № 1</t>
  </si>
  <si>
    <t>ФЦ № 2</t>
  </si>
  <si>
    <t>ЦРМО, всего :</t>
  </si>
  <si>
    <t xml:space="preserve">    2) участок по ремонту мех.обор. ФЦ</t>
  </si>
  <si>
    <t xml:space="preserve">        </t>
  </si>
  <si>
    <t xml:space="preserve">                                                                                          к регламенту формирования баланса электрической</t>
  </si>
  <si>
    <t xml:space="preserve">                                                                                           Приложение № 2</t>
  </si>
  <si>
    <t xml:space="preserve">                                                                                           энергии в сети Исполнителя к договору № 33ПЭ</t>
  </si>
  <si>
    <t xml:space="preserve">            </t>
  </si>
  <si>
    <t>№ п/п</t>
  </si>
  <si>
    <t>Наименование сетевой организации</t>
  </si>
  <si>
    <t xml:space="preserve">             Объём, переданной электроэнергии, кВт*ч</t>
  </si>
  <si>
    <t>Всего</t>
  </si>
  <si>
    <t>ВН</t>
  </si>
  <si>
    <t>СН-1</t>
  </si>
  <si>
    <t>СН-2</t>
  </si>
  <si>
    <t>НН</t>
  </si>
  <si>
    <t>ОАО "Водоканал"</t>
  </si>
  <si>
    <t xml:space="preserve">                                 Сводная ведомость передачи электроэнергии в сети Исполнителя"</t>
  </si>
  <si>
    <t>Столовая</t>
  </si>
  <si>
    <t xml:space="preserve">   Сумма,</t>
  </si>
  <si>
    <t>ООО "КОФ"</t>
  </si>
  <si>
    <t xml:space="preserve">1. ТЕХНОЛОГИЯ ЗАВОДА, всего:                               </t>
  </si>
  <si>
    <t xml:space="preserve"> </t>
  </si>
  <si>
    <t>ИП Глазырина Н.</t>
  </si>
  <si>
    <t>в том числе : 1) РМУ</t>
  </si>
  <si>
    <t xml:space="preserve">   3) РСУ</t>
  </si>
  <si>
    <t xml:space="preserve">   4) Прачечная</t>
  </si>
  <si>
    <t>Заводоуправление,  и  АБК БРЦ</t>
  </si>
  <si>
    <t xml:space="preserve">          по расходу электроэнергии за  </t>
  </si>
  <si>
    <t>Разность</t>
  </si>
  <si>
    <t>Наименование потребителя</t>
  </si>
  <si>
    <t>Расход</t>
  </si>
  <si>
    <t>Тариф,</t>
  </si>
  <si>
    <t>энергии,</t>
  </si>
  <si>
    <t xml:space="preserve">              </t>
  </si>
  <si>
    <t xml:space="preserve">б) Прочие цели завода , всего ( в том числе ) :                                  </t>
  </si>
  <si>
    <t xml:space="preserve">                    </t>
  </si>
  <si>
    <t xml:space="preserve">                   </t>
  </si>
  <si>
    <t xml:space="preserve">                     </t>
  </si>
  <si>
    <t xml:space="preserve">                          </t>
  </si>
  <si>
    <t>Главный энергетик ОАО "Ключевский завод ферросплавов"</t>
  </si>
  <si>
    <t>____________</t>
  </si>
  <si>
    <t>С.Ю. Ничков</t>
  </si>
  <si>
    <t>Руководитель Арамильского отделения ОАО "Свердловэнергосбыт"</t>
  </si>
  <si>
    <t>______________ А.Л. Мартыновских</t>
  </si>
  <si>
    <t xml:space="preserve">   Показания счётчиков</t>
  </si>
  <si>
    <t>кроме того: транзит электрической энергии в сети ОАО "МРСК-Урала" (ТСО) (невычитаемый)</t>
  </si>
  <si>
    <t xml:space="preserve">                                                                      </t>
  </si>
  <si>
    <t xml:space="preserve">                                     ввод №2, Т-2</t>
  </si>
  <si>
    <t>1.3.7.1</t>
  </si>
  <si>
    <t>январь</t>
  </si>
  <si>
    <t xml:space="preserve">ООО Фитакс"                                             </t>
  </si>
  <si>
    <t xml:space="preserve">ООО ПКП "Астер-Строй"       </t>
  </si>
  <si>
    <t xml:space="preserve">ООО НПО "Изостер"                             </t>
  </si>
  <si>
    <t xml:space="preserve">ИП Черемискин О.И.                         </t>
  </si>
  <si>
    <t xml:space="preserve">в том числе Одинокова С.Ю. </t>
  </si>
  <si>
    <t xml:space="preserve">ООО Фитакс"                                       </t>
  </si>
  <si>
    <t xml:space="preserve">ООО ПКП "Астер-Строй"      </t>
  </si>
  <si>
    <t xml:space="preserve">ООО НПО "Изостер"  </t>
  </si>
  <si>
    <t xml:space="preserve">ИП Черемискин О.И.                       </t>
  </si>
  <si>
    <t xml:space="preserve">в том числе Одинокова С.Ю.  </t>
  </si>
  <si>
    <t xml:space="preserve">ОАО "Водоканал"                         </t>
  </si>
  <si>
    <t xml:space="preserve">ОАО "Водоканал"                           </t>
  </si>
  <si>
    <t xml:space="preserve">                               ф. "Стройбаза" ТП № 20</t>
  </si>
  <si>
    <t>на 20 счёт</t>
  </si>
  <si>
    <t>на 25 счёт</t>
  </si>
  <si>
    <t>транзит</t>
  </si>
  <si>
    <t>кол-во, кВт*ч</t>
  </si>
  <si>
    <t>печи</t>
  </si>
  <si>
    <t>дап</t>
  </si>
  <si>
    <t>всего</t>
  </si>
  <si>
    <t>ээц воздух на дап</t>
  </si>
  <si>
    <t>ээц тепло на сторону</t>
  </si>
  <si>
    <t>электроэнергия</t>
  </si>
  <si>
    <t>Сысертский ГО, от сетей ОАО "МРСК Урала"</t>
  </si>
  <si>
    <t>1.1.2.</t>
  </si>
  <si>
    <t>1.1.3.</t>
  </si>
  <si>
    <t>1.1.4.</t>
  </si>
  <si>
    <t>условно-постоянные потери</t>
  </si>
  <si>
    <t>переменные потери</t>
  </si>
  <si>
    <t>Сысертский ГО от сетей ОАО "МРСК Урала"</t>
  </si>
  <si>
    <t>Потребитель: ПАО "Ключевский завод ферросплавов"</t>
  </si>
  <si>
    <t>Главный энергетик ПАО "КЗФ"</t>
  </si>
  <si>
    <t>ПАО "Ключевский завод                                                           Бухгалтерии завода</t>
  </si>
  <si>
    <t>Главный энергетик ПАО "КЗФ"     _________________ С.Ю. Ничков</t>
  </si>
  <si>
    <t>ферросплавов"                              ОТЧЁТ                                 планово-экономическому отделу</t>
  </si>
  <si>
    <t>относятся к группе потребителей - прочие потребители</t>
  </si>
  <si>
    <t xml:space="preserve">                                                          </t>
  </si>
  <si>
    <t>ферросплавов"                              РАСХОД                             Планово-экономическому отделу</t>
  </si>
  <si>
    <t xml:space="preserve">Транспортный цех, всего :    </t>
  </si>
  <si>
    <t>ЦАП ( цех № 3 )</t>
  </si>
  <si>
    <t xml:space="preserve"> от сетей ООО "Стоун"</t>
  </si>
  <si>
    <t>ООО "Стоун",           ввод №1, Т-1</t>
  </si>
  <si>
    <t xml:space="preserve"> от сетей ООО "Стоун"     </t>
  </si>
  <si>
    <t>ОАО "ЭнергосбытПлюс"</t>
  </si>
  <si>
    <t>ООО "Стоун"</t>
  </si>
  <si>
    <t>ОАО "ЭнергосбытПлюс" зап.сбыт</t>
  </si>
  <si>
    <t>ввод № 1</t>
  </si>
  <si>
    <t>ввод №2</t>
  </si>
  <si>
    <t>ООО "Стоун",      РП № 16, ввод №1, Т-1</t>
  </si>
  <si>
    <t xml:space="preserve">                                РП № 16, ввод №2, Т-2</t>
  </si>
  <si>
    <t>карьер</t>
  </si>
  <si>
    <t>Представитель ОАО "МРСК-Урала" ( ЦЭС)</t>
  </si>
  <si>
    <t xml:space="preserve">суточный расход э/э с ПС №3 на паровую за 1 - 1886,4, за 2 - 1895,4 </t>
  </si>
  <si>
    <t>к расчёту принимаем среднее значение 1891 * 31 = 58621 кВт*ч месяц</t>
  </si>
  <si>
    <t>за январь 2021 г.</t>
  </si>
  <si>
    <t>Главный энергетик ПАО "Ключевский завод ферросплавов" по доверенности № 13-2/127 от 18.12.2020 г.         ______________ С.Ю. Ничков</t>
  </si>
  <si>
    <t>(доверенность от 18.12.2020 г. № 13-2/127 )</t>
  </si>
  <si>
    <t>за январь 2021 года</t>
  </si>
  <si>
    <t xml:space="preserve">   2021 г.</t>
  </si>
  <si>
    <t>07-9/        " ___ " января 2021 г.   Главный энергетик                                                                                                                   С.Ю. Ничков</t>
  </si>
  <si>
    <t xml:space="preserve">  2021 г.</t>
  </si>
  <si>
    <t xml:space="preserve">07-9/        "___ " января  2021 г. </t>
  </si>
  <si>
    <t>за февраль 2021 г.</t>
  </si>
  <si>
    <t>за февраль 2021 года</t>
  </si>
  <si>
    <t>к расчёту принимаем среднее значение 1891 * 28 = 52 948 кВт*ч месяц</t>
  </si>
  <si>
    <t>07-9/        " ___ " февраля 2021 г.   Главный энергетик                                                                                                                   С.Ю. Ничков</t>
  </si>
  <si>
    <t xml:space="preserve">07-9/        "___ " февраля  2021 г. </t>
  </si>
  <si>
    <t xml:space="preserve">суточный расход э/э с ПС №3 на паровую за 1 января ЦАП стоял - 1886,4, за 2 января ЦАП стоял - 1895,4 </t>
  </si>
  <si>
    <t>за март 2021 г.</t>
  </si>
  <si>
    <t>к расчёту принимаем среднее значение 1891 * 31 = 58 621 кВт*ч месяц</t>
  </si>
  <si>
    <t>за март 2021 года</t>
  </si>
  <si>
    <t>07-9/        " ___ " марта 2021 г.   Главный энергетик                                                                                                                   С.Ю. Ничков</t>
  </si>
  <si>
    <t xml:space="preserve">07-9/        "___ " марта  2021 г.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</si>
</sst>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0.00000"/>
    <numFmt numFmtId="178" formatCode="0.000000"/>
    <numFmt numFmtId="179" formatCode="#,##0.000_р_."/>
    <numFmt numFmtId="180" formatCode="#,##0.0000_р_."/>
    <numFmt numFmtId="181" formatCode="#,##0.00_р_."/>
    <numFmt numFmtId="182" formatCode="#,##0.00000_р_."/>
    <numFmt numFmtId="183" formatCode="#,##0.0"/>
    <numFmt numFmtId="184" formatCode="#,##0.000000_р_."/>
    <numFmt numFmtId="185" formatCode="#,##0.0000"/>
    <numFmt numFmtId="186" formatCode="0000.0"/>
    <numFmt numFmtId="187" formatCode="#,##0.0_р_."/>
    <numFmt numFmtId="188" formatCode="#,##0.000"/>
    <numFmt numFmtId="189" formatCode="000000.0"/>
    <numFmt numFmtId="190" formatCode="00000.0"/>
    <numFmt numFmtId="191" formatCode="000000.00"/>
    <numFmt numFmtId="192" formatCode="0.00000000"/>
    <numFmt numFmtId="193" formatCode="#,##0.0000000_р_."/>
    <numFmt numFmtId="194" formatCode="#,##0.00000000_р_."/>
    <numFmt numFmtId="195" formatCode="0.000000000"/>
    <numFmt numFmtId="196" formatCode="#,##0.000000000_р_."/>
    <numFmt numFmtId="197" formatCode="0.0000000000"/>
    <numFmt numFmtId="198" formatCode="#,##0.0000000000_р_."/>
    <numFmt numFmtId="199" formatCode="00000"/>
    <numFmt numFmtId="200" formatCode="0.0000000"/>
    <numFmt numFmtId="201" formatCode="000000"/>
    <numFmt numFmtId="202" formatCode="0000000000000000"/>
    <numFmt numFmtId="203" formatCode="0.000"/>
    <numFmt numFmtId="204" formatCode="[$-FC19]d\ mmmm\ yyyy\ &quot;г.&quot;"/>
    <numFmt numFmtId="205" formatCode="0000.000"/>
    <numFmt numFmtId="206" formatCode="0000000000"/>
    <numFmt numFmtId="207" formatCode="00000000"/>
    <numFmt numFmtId="208" formatCode="0000000"/>
    <numFmt numFmtId="209" formatCode="000000.0000"/>
    <numFmt numFmtId="210" formatCode="0.0000"/>
    <numFmt numFmtId="211" formatCode="#,##0.000000000"/>
    <numFmt numFmtId="212" formatCode="#,##0_р_."/>
    <numFmt numFmtId="213" formatCode="00000.0000"/>
    <numFmt numFmtId="214" formatCode="00000.00"/>
    <numFmt numFmtId="215" formatCode="000000.000"/>
    <numFmt numFmtId="216" formatCode="00000.000"/>
    <numFmt numFmtId="217" formatCode="#,##0.00&quot;р.&quot;"/>
    <numFmt numFmtId="218" formatCode="000000000"/>
    <numFmt numFmtId="219" formatCode="#,##0.00000"/>
    <numFmt numFmtId="220" formatCode="#,##0.000000"/>
    <numFmt numFmtId="221" formatCode="#,##0.0000000"/>
    <numFmt numFmtId="222" formatCode="#,##0.00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0" xfId="0" applyFont="1" applyAlignment="1">
      <alignment/>
    </xf>
    <xf numFmtId="0" fontId="6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0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3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206" fontId="11" fillId="0" borderId="18" xfId="0" applyNumberFormat="1" applyFont="1" applyBorder="1" applyAlignment="1">
      <alignment horizontal="center"/>
    </xf>
    <xf numFmtId="206" fontId="11" fillId="0" borderId="20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90" fontId="11" fillId="0" borderId="2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23" xfId="0" applyFont="1" applyBorder="1" applyAlignment="1">
      <alignment horizontal="center"/>
    </xf>
    <xf numFmtId="190" fontId="11" fillId="0" borderId="23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" fontId="12" fillId="0" borderId="11" xfId="0" applyNumberFormat="1" applyFont="1" applyBorder="1" applyAlignment="1">
      <alignment horizontal="center"/>
    </xf>
    <xf numFmtId="189" fontId="11" fillId="0" borderId="11" xfId="0" applyNumberFormat="1" applyFont="1" applyBorder="1" applyAlignment="1">
      <alignment/>
    </xf>
    <xf numFmtId="176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207" fontId="11" fillId="0" borderId="10" xfId="0" applyNumberFormat="1" applyFont="1" applyBorder="1" applyAlignment="1">
      <alignment horizontal="center"/>
    </xf>
    <xf numFmtId="189" fontId="11" fillId="0" borderId="10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206" fontId="11" fillId="0" borderId="10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176" fontId="12" fillId="0" borderId="24" xfId="0" applyNumberFormat="1" applyFont="1" applyBorder="1" applyAlignment="1">
      <alignment/>
    </xf>
    <xf numFmtId="1" fontId="11" fillId="0" borderId="24" xfId="0" applyNumberFormat="1" applyFont="1" applyBorder="1" applyAlignment="1">
      <alignment horizontal="center"/>
    </xf>
    <xf numFmtId="189" fontId="11" fillId="0" borderId="24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1" fontId="11" fillId="0" borderId="23" xfId="0" applyNumberFormat="1" applyFont="1" applyBorder="1" applyAlignment="1">
      <alignment horizontal="center"/>
    </xf>
    <xf numFmtId="189" fontId="11" fillId="0" borderId="23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176" fontId="11" fillId="0" borderId="20" xfId="0" applyNumberFormat="1" applyFont="1" applyBorder="1" applyAlignment="1">
      <alignment horizontal="center"/>
    </xf>
    <xf numFmtId="190" fontId="11" fillId="0" borderId="20" xfId="0" applyNumberFormat="1" applyFont="1" applyBorder="1" applyAlignment="1">
      <alignment horizontal="center"/>
    </xf>
    <xf numFmtId="183" fontId="11" fillId="0" borderId="20" xfId="0" applyNumberFormat="1" applyFont="1" applyBorder="1" applyAlignment="1">
      <alignment horizontal="center"/>
    </xf>
    <xf numFmtId="209" fontId="11" fillId="0" borderId="10" xfId="0" applyNumberFormat="1" applyFont="1" applyBorder="1" applyAlignment="1">
      <alignment horizontal="center"/>
    </xf>
    <xf numFmtId="186" fontId="11" fillId="0" borderId="10" xfId="0" applyNumberFormat="1" applyFont="1" applyBorder="1" applyAlignment="1">
      <alignment horizontal="center"/>
    </xf>
    <xf numFmtId="176" fontId="11" fillId="0" borderId="18" xfId="0" applyNumberFormat="1" applyFont="1" applyBorder="1" applyAlignment="1">
      <alignment horizontal="center"/>
    </xf>
    <xf numFmtId="190" fontId="11" fillId="0" borderId="18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185" fontId="11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180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81" fontId="11" fillId="0" borderId="13" xfId="0" applyNumberFormat="1" applyFont="1" applyBorder="1" applyAlignment="1">
      <alignment/>
    </xf>
    <xf numFmtId="181" fontId="11" fillId="0" borderId="17" xfId="0" applyNumberFormat="1" applyFont="1" applyBorder="1" applyAlignment="1">
      <alignment/>
    </xf>
    <xf numFmtId="210" fontId="11" fillId="0" borderId="10" xfId="0" applyNumberFormat="1" applyFont="1" applyBorder="1" applyAlignment="1">
      <alignment horizontal="center"/>
    </xf>
    <xf numFmtId="185" fontId="11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23" xfId="0" applyFont="1" applyBorder="1" applyAlignment="1">
      <alignment/>
    </xf>
    <xf numFmtId="197" fontId="13" fillId="0" borderId="21" xfId="0" applyNumberFormat="1" applyFont="1" applyBorder="1" applyAlignment="1">
      <alignment horizontal="center"/>
    </xf>
    <xf numFmtId="183" fontId="11" fillId="0" borderId="18" xfId="0" applyNumberFormat="1" applyFont="1" applyBorder="1" applyAlignment="1">
      <alignment horizontal="center"/>
    </xf>
    <xf numFmtId="182" fontId="11" fillId="0" borderId="18" xfId="0" applyNumberFormat="1" applyFont="1" applyBorder="1" applyAlignment="1">
      <alignment/>
    </xf>
    <xf numFmtId="182" fontId="11" fillId="0" borderId="20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/>
    </xf>
    <xf numFmtId="186" fontId="11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1" fillId="0" borderId="0" xfId="0" applyNumberFormat="1" applyFont="1" applyAlignment="1">
      <alignment/>
    </xf>
    <xf numFmtId="211" fontId="11" fillId="0" borderId="0" xfId="0" applyNumberFormat="1" applyFont="1" applyAlignment="1">
      <alignment/>
    </xf>
    <xf numFmtId="0" fontId="12" fillId="0" borderId="21" xfId="0" applyFont="1" applyBorder="1" applyAlignment="1">
      <alignment/>
    </xf>
    <xf numFmtId="3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212" fontId="11" fillId="0" borderId="2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80" fontId="11" fillId="0" borderId="2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194" fontId="10" fillId="0" borderId="10" xfId="0" applyNumberFormat="1" applyFont="1" applyBorder="1" applyAlignment="1">
      <alignment horizontal="center"/>
    </xf>
    <xf numFmtId="183" fontId="11" fillId="0" borderId="22" xfId="0" applyNumberFormat="1" applyFont="1" applyBorder="1" applyAlignment="1">
      <alignment horizontal="center"/>
    </xf>
    <xf numFmtId="179" fontId="11" fillId="0" borderId="10" xfId="0" applyNumberFormat="1" applyFont="1" applyBorder="1" applyAlignment="1">
      <alignment horizontal="center"/>
    </xf>
    <xf numFmtId="181" fontId="11" fillId="0" borderId="18" xfId="0" applyNumberFormat="1" applyFont="1" applyBorder="1" applyAlignment="1">
      <alignment horizontal="center"/>
    </xf>
    <xf numFmtId="194" fontId="11" fillId="0" borderId="21" xfId="0" applyNumberFormat="1" applyFont="1" applyBorder="1" applyAlignment="1">
      <alignment horizontal="center"/>
    </xf>
    <xf numFmtId="194" fontId="11" fillId="0" borderId="10" xfId="0" applyNumberFormat="1" applyFont="1" applyBorder="1" applyAlignment="1">
      <alignment horizontal="center"/>
    </xf>
    <xf numFmtId="180" fontId="11" fillId="0" borderId="21" xfId="0" applyNumberFormat="1" applyFont="1" applyBorder="1" applyAlignment="1">
      <alignment horizontal="center"/>
    </xf>
    <xf numFmtId="184" fontId="11" fillId="0" borderId="21" xfId="0" applyNumberFormat="1" applyFont="1" applyBorder="1" applyAlignment="1">
      <alignment horizontal="center"/>
    </xf>
    <xf numFmtId="196" fontId="13" fillId="0" borderId="21" xfId="0" applyNumberFormat="1" applyFont="1" applyBorder="1" applyAlignment="1">
      <alignment horizontal="center"/>
    </xf>
    <xf numFmtId="182" fontId="11" fillId="0" borderId="21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188" fontId="11" fillId="0" borderId="22" xfId="0" applyNumberFormat="1" applyFont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213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07" fontId="11" fillId="0" borderId="22" xfId="0" applyNumberFormat="1" applyFont="1" applyBorder="1" applyAlignment="1">
      <alignment horizontal="center"/>
    </xf>
    <xf numFmtId="206" fontId="11" fillId="0" borderId="22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22" xfId="0" applyFont="1" applyBorder="1" applyAlignment="1">
      <alignment horizontal="center"/>
    </xf>
    <xf numFmtId="208" fontId="11" fillId="0" borderId="22" xfId="0" applyNumberFormat="1" applyFont="1" applyBorder="1" applyAlignment="1">
      <alignment horizontal="center"/>
    </xf>
    <xf numFmtId="202" fontId="13" fillId="0" borderId="22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8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202" fontId="13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" fontId="11" fillId="0" borderId="18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214" fontId="11" fillId="0" borderId="18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09" fontId="11" fillId="0" borderId="20" xfId="0" applyNumberFormat="1" applyFont="1" applyBorder="1" applyAlignment="1">
      <alignment horizontal="center"/>
    </xf>
    <xf numFmtId="210" fontId="11" fillId="0" borderId="20" xfId="0" applyNumberFormat="1" applyFont="1" applyBorder="1" applyAlignment="1">
      <alignment horizontal="center"/>
    </xf>
    <xf numFmtId="213" fontId="11" fillId="0" borderId="18" xfId="0" applyNumberFormat="1" applyFont="1" applyBorder="1" applyAlignment="1">
      <alignment horizontal="center"/>
    </xf>
    <xf numFmtId="210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17" fontId="11" fillId="0" borderId="0" xfId="0" applyNumberFormat="1" applyFont="1" applyAlignment="1">
      <alignment horizontal="center"/>
    </xf>
    <xf numFmtId="206" fontId="11" fillId="0" borderId="24" xfId="0" applyNumberFormat="1" applyFont="1" applyBorder="1" applyAlignment="1">
      <alignment horizontal="center"/>
    </xf>
    <xf numFmtId="209" fontId="11" fillId="0" borderId="24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210" fontId="11" fillId="0" borderId="24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191" fontId="11" fillId="0" borderId="10" xfId="0" applyNumberFormat="1" applyFont="1" applyBorder="1" applyAlignment="1">
      <alignment horizontal="center"/>
    </xf>
    <xf numFmtId="218" fontId="13" fillId="0" borderId="10" xfId="0" applyNumberFormat="1" applyFont="1" applyBorder="1" applyAlignment="1">
      <alignment horizontal="center"/>
    </xf>
    <xf numFmtId="213" fontId="11" fillId="0" borderId="13" xfId="0" applyNumberFormat="1" applyFont="1" applyBorder="1" applyAlignment="1">
      <alignment horizontal="center"/>
    </xf>
    <xf numFmtId="190" fontId="11" fillId="0" borderId="15" xfId="0" applyNumberFormat="1" applyFont="1" applyBorder="1" applyAlignment="1">
      <alignment horizontal="center"/>
    </xf>
    <xf numFmtId="188" fontId="4" fillId="0" borderId="0" xfId="0" applyNumberFormat="1" applyFont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3" fontId="51" fillId="0" borderId="1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37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5.625" style="0" customWidth="1"/>
    <col min="2" max="2" width="37.625" style="0" customWidth="1"/>
    <col min="3" max="3" width="14.875" style="0" customWidth="1"/>
    <col min="4" max="4" width="13.25390625" style="0" customWidth="1"/>
    <col min="5" max="5" width="12.625" style="0" customWidth="1"/>
    <col min="6" max="6" width="9.375" style="0" customWidth="1"/>
    <col min="7" max="7" width="10.375" style="0" customWidth="1"/>
    <col min="8" max="8" width="7.125" style="0" customWidth="1"/>
    <col min="9" max="9" width="12.25390625" style="0" customWidth="1"/>
    <col min="10" max="10" width="5.625" style="0" customWidth="1"/>
    <col min="11" max="11" width="36.75390625" style="0" customWidth="1"/>
    <col min="12" max="12" width="14.875" style="0" customWidth="1"/>
    <col min="13" max="13" width="13.25390625" style="0" customWidth="1"/>
    <col min="14" max="14" width="12.375" style="0" customWidth="1"/>
    <col min="15" max="15" width="9.375" style="0" customWidth="1"/>
    <col min="16" max="16" width="10.375" style="0" customWidth="1"/>
    <col min="18" max="18" width="12.375" style="0" customWidth="1"/>
    <col min="19" max="19" width="6.75390625" style="0" customWidth="1"/>
    <col min="20" max="20" width="12.375" style="0" customWidth="1"/>
    <col min="21" max="21" width="10.25390625" style="0" customWidth="1"/>
    <col min="22" max="22" width="25.25390625" style="0" customWidth="1"/>
    <col min="23" max="23" width="13.625" style="0" customWidth="1"/>
    <col min="24" max="24" width="14.625" style="0" customWidth="1"/>
    <col min="25" max="25" width="13.125" style="0" customWidth="1"/>
    <col min="26" max="26" width="13.25390625" style="0" customWidth="1"/>
    <col min="27" max="27" width="11.625" style="0" customWidth="1"/>
    <col min="28" max="28" width="7.75390625" style="0" customWidth="1"/>
    <col min="31" max="31" width="38.00390625" style="0" customWidth="1"/>
    <col min="32" max="32" width="11.25390625" style="0" customWidth="1"/>
    <col min="33" max="33" width="11.625" style="0" customWidth="1"/>
    <col min="34" max="34" width="11.75390625" style="0" customWidth="1"/>
    <col min="35" max="35" width="12.75390625" style="0" customWidth="1"/>
    <col min="36" max="36" width="12.00390625" style="0" customWidth="1"/>
    <col min="37" max="37" width="6.375" style="0" customWidth="1"/>
    <col min="40" max="40" width="31.625" style="0" customWidth="1"/>
    <col min="41" max="41" width="13.125" style="0" customWidth="1"/>
    <col min="42" max="42" width="12.75390625" style="0" customWidth="1"/>
    <col min="43" max="43" width="12.00390625" style="0" customWidth="1"/>
    <col min="44" max="44" width="12.875" style="0" customWidth="1"/>
    <col min="45" max="45" width="12.375" style="0" customWidth="1"/>
    <col min="51" max="51" width="31.125" style="0" customWidth="1"/>
    <col min="52" max="52" width="13.375" style="0" customWidth="1"/>
    <col min="53" max="53" width="13.125" style="0" customWidth="1"/>
    <col min="54" max="54" width="14.375" style="0" customWidth="1"/>
    <col min="56" max="56" width="11.125" style="0" customWidth="1"/>
    <col min="59" max="59" width="17.75390625" style="0" customWidth="1"/>
    <col min="60" max="60" width="22.375" style="0" customWidth="1"/>
    <col min="61" max="61" width="14.875" style="0" customWidth="1"/>
    <col min="62" max="62" width="12.25390625" style="0" customWidth="1"/>
    <col min="63" max="63" width="11.75390625" style="0" customWidth="1"/>
    <col min="64" max="64" width="10.00390625" style="0" customWidth="1"/>
    <col min="68" max="68" width="6.75390625" style="0" customWidth="1"/>
    <col min="69" max="69" width="10.625" style="0" customWidth="1"/>
    <col min="78" max="78" width="11.625" style="0" customWidth="1"/>
    <col min="84" max="84" width="10.37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87</v>
      </c>
      <c r="E2" s="47"/>
      <c r="F2" s="47"/>
      <c r="G2" s="47"/>
      <c r="H2" s="47"/>
      <c r="I2" s="47"/>
      <c r="J2" s="47"/>
      <c r="K2" s="47"/>
      <c r="L2" s="47"/>
      <c r="M2" s="47" t="s">
        <v>171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184</v>
      </c>
      <c r="AC2" s="47"/>
      <c r="AD2" s="47"/>
      <c r="AE2" s="47"/>
      <c r="AF2" s="47"/>
      <c r="AG2" s="47"/>
      <c r="AH2" s="47"/>
      <c r="AI2" s="47"/>
      <c r="AJ2" s="47"/>
      <c r="AK2" s="47" t="s">
        <v>184</v>
      </c>
      <c r="AL2" s="47"/>
      <c r="AM2" s="47"/>
      <c r="AN2" s="47"/>
      <c r="AO2" s="47"/>
      <c r="AP2" s="47"/>
      <c r="AQ2" s="47"/>
      <c r="AR2" s="47"/>
      <c r="AS2" s="47"/>
      <c r="AT2" s="64" t="s">
        <v>262</v>
      </c>
      <c r="AU2" s="47"/>
      <c r="AV2" s="47"/>
      <c r="AW2" s="47"/>
      <c r="AX2" s="47"/>
      <c r="AY2" s="47"/>
      <c r="AZ2" s="47"/>
      <c r="BA2" s="47"/>
      <c r="BB2" s="47"/>
    </row>
    <row r="3" spans="1:67" ht="12.75">
      <c r="A3" s="47"/>
      <c r="B3" s="47"/>
      <c r="C3" s="47"/>
      <c r="D3" s="47" t="s">
        <v>88</v>
      </c>
      <c r="E3" s="47"/>
      <c r="F3" s="47"/>
      <c r="G3" s="47"/>
      <c r="H3" s="47"/>
      <c r="I3" s="47"/>
      <c r="J3" s="47"/>
      <c r="K3" s="47"/>
      <c r="L3" s="47"/>
      <c r="M3" s="47" t="s">
        <v>172</v>
      </c>
      <c r="N3" s="47"/>
      <c r="O3" s="47"/>
      <c r="P3" s="47"/>
      <c r="Q3" s="47"/>
      <c r="R3" s="47"/>
      <c r="S3" s="47" t="s">
        <v>184</v>
      </c>
      <c r="T3" s="47"/>
      <c r="U3" s="47"/>
      <c r="V3" s="47"/>
      <c r="W3" s="47"/>
      <c r="X3" s="47"/>
      <c r="Y3" s="47"/>
      <c r="Z3" s="47"/>
      <c r="AA3" s="47"/>
      <c r="AB3" s="47" t="s">
        <v>183</v>
      </c>
      <c r="AC3" s="47"/>
      <c r="AD3" s="47"/>
      <c r="AE3" s="47"/>
      <c r="AF3" s="47"/>
      <c r="AG3" s="47"/>
      <c r="AH3" s="47"/>
      <c r="AI3" s="47"/>
      <c r="AJ3" s="47"/>
      <c r="AK3" s="47" t="s">
        <v>183</v>
      </c>
      <c r="AL3" s="47"/>
      <c r="AM3" s="47"/>
      <c r="AN3" s="47"/>
      <c r="AO3" s="47"/>
      <c r="AP3" s="47"/>
      <c r="AQ3" s="47"/>
      <c r="AR3" s="47"/>
      <c r="AS3" s="47"/>
      <c r="AT3" s="64" t="s">
        <v>264</v>
      </c>
      <c r="AU3" s="47"/>
      <c r="AV3" s="47"/>
      <c r="AW3" s="47"/>
      <c r="AX3" s="47"/>
      <c r="AY3" s="47"/>
      <c r="AZ3" s="47"/>
      <c r="BA3" s="47"/>
      <c r="BB3" s="47"/>
      <c r="BG3" s="48"/>
      <c r="BH3" s="73"/>
      <c r="BI3" s="48"/>
      <c r="BJ3" s="116"/>
      <c r="BK3" s="117"/>
      <c r="BL3" s="48"/>
      <c r="BM3" s="48"/>
      <c r="BN3" s="48"/>
      <c r="BO3" s="48"/>
    </row>
    <row r="4" spans="1:67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183</v>
      </c>
      <c r="T4" s="47"/>
      <c r="U4" s="47"/>
      <c r="V4" s="47"/>
      <c r="W4" s="47"/>
      <c r="X4" s="47"/>
      <c r="Y4" s="47"/>
      <c r="Z4" s="47"/>
      <c r="AA4" s="47"/>
      <c r="AB4" s="47" t="s">
        <v>185</v>
      </c>
      <c r="AC4" s="47"/>
      <c r="AD4" s="47"/>
      <c r="AE4" s="47"/>
      <c r="AF4" s="47"/>
      <c r="AG4" s="47"/>
      <c r="AH4" s="47"/>
      <c r="AI4" s="47"/>
      <c r="AJ4" s="47"/>
      <c r="AK4" s="47" t="s">
        <v>185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207</v>
      </c>
      <c r="AV4" s="47"/>
      <c r="AW4" s="47"/>
      <c r="AX4" s="47"/>
      <c r="AY4" s="144" t="s">
        <v>229</v>
      </c>
      <c r="AZ4" s="144" t="s">
        <v>288</v>
      </c>
      <c r="BA4" s="47"/>
      <c r="BB4" s="47"/>
      <c r="BG4" s="74"/>
      <c r="BH4" s="74"/>
      <c r="BI4" s="74"/>
      <c r="BJ4" s="48"/>
      <c r="BK4" s="50"/>
      <c r="BL4" s="74"/>
      <c r="BM4" s="74"/>
      <c r="BN4" s="74"/>
      <c r="BO4" s="74"/>
    </row>
    <row r="5" spans="1:67" ht="12.75">
      <c r="A5" s="47"/>
      <c r="B5" s="47"/>
      <c r="C5" s="47" t="s">
        <v>89</v>
      </c>
      <c r="D5" s="47"/>
      <c r="E5" s="47"/>
      <c r="F5" s="47"/>
      <c r="G5" s="47"/>
      <c r="H5" s="47"/>
      <c r="I5" s="47"/>
      <c r="J5" s="47"/>
      <c r="K5" s="47"/>
      <c r="L5" s="47" t="s">
        <v>89</v>
      </c>
      <c r="M5" s="47"/>
      <c r="N5" s="47"/>
      <c r="O5" s="47"/>
      <c r="P5" s="47"/>
      <c r="Q5" s="47"/>
      <c r="R5" s="47"/>
      <c r="S5" s="47" t="s">
        <v>185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209</v>
      </c>
      <c r="AV5" s="51"/>
      <c r="AW5" s="51"/>
      <c r="AX5" s="51"/>
      <c r="AY5" s="51"/>
      <c r="AZ5" s="50" t="s">
        <v>210</v>
      </c>
      <c r="BA5" s="50" t="s">
        <v>211</v>
      </c>
      <c r="BB5" s="48" t="s">
        <v>198</v>
      </c>
      <c r="BG5" s="49"/>
      <c r="BH5" s="49"/>
      <c r="BI5" s="49"/>
      <c r="BJ5" s="49"/>
      <c r="BK5" s="46"/>
      <c r="BL5" s="49"/>
      <c r="BM5" s="49"/>
      <c r="BN5" s="49"/>
      <c r="BO5" s="49"/>
    </row>
    <row r="6" spans="1:67" ht="12.75">
      <c r="A6" s="47"/>
      <c r="B6" s="47"/>
      <c r="C6" s="47"/>
      <c r="D6" s="167" t="s">
        <v>284</v>
      </c>
      <c r="E6" s="167"/>
      <c r="F6" s="47"/>
      <c r="G6" s="47"/>
      <c r="H6" s="47"/>
      <c r="I6" s="47"/>
      <c r="J6" s="47"/>
      <c r="K6" s="47"/>
      <c r="L6" s="47"/>
      <c r="M6" s="167" t="s">
        <v>284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212</v>
      </c>
      <c r="BA6" s="63" t="s">
        <v>73</v>
      </c>
      <c r="BB6" s="74" t="s">
        <v>12</v>
      </c>
      <c r="BG6" s="57"/>
      <c r="BH6" s="57"/>
      <c r="BI6" s="57"/>
      <c r="BJ6" s="57"/>
      <c r="BK6" s="57"/>
      <c r="BL6" s="57"/>
      <c r="BM6" s="57"/>
      <c r="BN6" s="57"/>
      <c r="BO6" s="57"/>
    </row>
    <row r="7" spans="1:67" ht="12.75">
      <c r="A7" s="47" t="s">
        <v>260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74</v>
      </c>
      <c r="BA7" s="46"/>
      <c r="BB7" s="49" t="s">
        <v>13</v>
      </c>
      <c r="BG7" s="42"/>
      <c r="BH7" s="42"/>
      <c r="BI7" s="229"/>
      <c r="BJ7" s="230"/>
      <c r="BK7" s="230"/>
      <c r="BL7" s="231"/>
      <c r="BM7" s="230"/>
      <c r="BN7" s="229"/>
      <c r="BO7" s="60"/>
    </row>
    <row r="8" spans="1:67" ht="12.75">
      <c r="A8" s="47" t="s">
        <v>90</v>
      </c>
      <c r="B8" s="47"/>
      <c r="C8" s="47"/>
      <c r="D8" s="47"/>
      <c r="E8" s="47"/>
      <c r="F8" s="47"/>
      <c r="G8" s="47"/>
      <c r="H8" s="47"/>
      <c r="I8" s="47"/>
      <c r="J8" s="47" t="s">
        <v>260</v>
      </c>
      <c r="K8" s="47"/>
      <c r="L8" s="47"/>
      <c r="M8" s="47"/>
      <c r="N8" s="47"/>
      <c r="O8" s="47"/>
      <c r="P8" s="47"/>
      <c r="Q8" s="47"/>
      <c r="R8" s="47"/>
      <c r="S8" s="47" t="s">
        <v>196</v>
      </c>
      <c r="T8" s="47"/>
      <c r="U8" s="47"/>
      <c r="V8" s="47"/>
      <c r="W8" s="47"/>
      <c r="X8" s="47"/>
      <c r="Y8" s="47"/>
      <c r="Z8" s="47"/>
      <c r="AA8" s="47"/>
      <c r="AB8" s="47" t="s">
        <v>196</v>
      </c>
      <c r="AC8" s="47"/>
      <c r="AD8" s="47"/>
      <c r="AE8" s="47"/>
      <c r="AF8" s="47"/>
      <c r="AG8" s="47"/>
      <c r="AH8" s="47"/>
      <c r="AI8" s="47"/>
      <c r="AJ8" s="47"/>
      <c r="AK8" s="47" t="s">
        <v>196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14716635.000000015</v>
      </c>
      <c r="BA8" s="168"/>
      <c r="BB8" s="169">
        <f>BB9+BB14</f>
        <v>18132279.30762</v>
      </c>
      <c r="BG8" s="57"/>
      <c r="BH8" s="42"/>
      <c r="BI8" s="57"/>
      <c r="BJ8" s="223"/>
      <c r="BK8" s="223"/>
      <c r="BL8" s="231"/>
      <c r="BM8" s="230"/>
      <c r="BN8" s="57"/>
      <c r="BO8" s="60"/>
    </row>
    <row r="9" spans="1:67" ht="12.75">
      <c r="A9" s="47" t="s">
        <v>92</v>
      </c>
      <c r="B9" s="47"/>
      <c r="C9" s="47"/>
      <c r="D9" s="47"/>
      <c r="E9" s="47"/>
      <c r="F9" s="47" t="s">
        <v>91</v>
      </c>
      <c r="G9" s="47"/>
      <c r="H9" s="47"/>
      <c r="I9" s="47"/>
      <c r="J9" s="47" t="s">
        <v>90</v>
      </c>
      <c r="K9" s="47"/>
      <c r="L9" s="47"/>
      <c r="M9" s="47"/>
      <c r="N9" s="47"/>
      <c r="O9" s="47" t="s">
        <v>91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200</v>
      </c>
      <c r="AU9" s="146"/>
      <c r="AV9" s="146"/>
      <c r="AW9" s="146"/>
      <c r="AX9" s="51"/>
      <c r="AY9" s="52"/>
      <c r="AZ9" s="170">
        <f>AZ11+AZ12</f>
        <v>5706462</v>
      </c>
      <c r="BA9" s="171">
        <f>(BB12+BB11)/AZ9</f>
        <v>3.1767100732012237</v>
      </c>
      <c r="BB9" s="169">
        <f>BB10+BB11+BB12+BB13</f>
        <v>18127775.31774</v>
      </c>
      <c r="BG9" s="57"/>
      <c r="BH9" s="42"/>
      <c r="BI9" s="106"/>
      <c r="BJ9" s="223"/>
      <c r="BK9" s="223"/>
      <c r="BL9" s="231"/>
      <c r="BM9" s="230"/>
      <c r="BN9" s="57"/>
      <c r="BO9" s="60"/>
    </row>
    <row r="10" spans="1:67" ht="12.75">
      <c r="A10" s="48" t="s">
        <v>187</v>
      </c>
      <c r="B10" s="73" t="s">
        <v>93</v>
      </c>
      <c r="C10" s="48" t="s">
        <v>94</v>
      </c>
      <c r="D10" s="116" t="s">
        <v>169</v>
      </c>
      <c r="E10" s="117"/>
      <c r="F10" s="48" t="s">
        <v>95</v>
      </c>
      <c r="G10" s="48" t="s">
        <v>208</v>
      </c>
      <c r="H10" s="48" t="s">
        <v>96</v>
      </c>
      <c r="I10" s="48" t="s">
        <v>86</v>
      </c>
      <c r="J10" s="47" t="s">
        <v>92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287</v>
      </c>
      <c r="Z10" s="47"/>
      <c r="AA10" s="47"/>
      <c r="AB10" s="47"/>
      <c r="AC10" s="47"/>
      <c r="AD10" s="47"/>
      <c r="AE10" s="47"/>
      <c r="AF10" s="47"/>
      <c r="AG10" s="47"/>
      <c r="AH10" s="167" t="s">
        <v>287</v>
      </c>
      <c r="AI10" s="47"/>
      <c r="AJ10" s="47"/>
      <c r="AK10" s="47"/>
      <c r="AL10" s="47"/>
      <c r="AM10" s="47"/>
      <c r="AN10" s="47"/>
      <c r="AO10" s="47"/>
      <c r="AP10" s="47"/>
      <c r="AQ10" s="167" t="s">
        <v>287</v>
      </c>
      <c r="AR10" s="47"/>
      <c r="AS10" s="47"/>
      <c r="AT10" s="50" t="s">
        <v>75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  <c r="BG10" s="57"/>
      <c r="BH10" s="42"/>
      <c r="BI10" s="106"/>
      <c r="BJ10" s="223"/>
      <c r="BK10" s="223"/>
      <c r="BL10" s="231"/>
      <c r="BM10" s="230"/>
      <c r="BN10" s="57"/>
      <c r="BO10" s="60"/>
    </row>
    <row r="11" spans="1:67" ht="12.75">
      <c r="A11" s="74"/>
      <c r="B11" s="74"/>
      <c r="C11" s="74"/>
      <c r="D11" s="48" t="s">
        <v>97</v>
      </c>
      <c r="E11" s="50" t="s">
        <v>98</v>
      </c>
      <c r="F11" s="74" t="s">
        <v>99</v>
      </c>
      <c r="G11" s="74" t="s">
        <v>85</v>
      </c>
      <c r="H11" s="74"/>
      <c r="I11" s="74" t="s">
        <v>100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76</v>
      </c>
      <c r="AU11" s="51"/>
      <c r="AV11" s="51"/>
      <c r="AW11" s="51"/>
      <c r="AX11" s="51"/>
      <c r="AY11" s="52"/>
      <c r="AZ11" s="60">
        <f>I81+I73</f>
        <v>6792</v>
      </c>
      <c r="BA11" s="175">
        <v>4.90547</v>
      </c>
      <c r="BB11" s="174">
        <f>AZ11*BA11</f>
        <v>33317.95224</v>
      </c>
      <c r="BG11" s="57"/>
      <c r="BH11" s="42"/>
      <c r="BI11" s="57"/>
      <c r="BJ11" s="223"/>
      <c r="BK11" s="223"/>
      <c r="BL11" s="231"/>
      <c r="BM11" s="230"/>
      <c r="BN11" s="57"/>
      <c r="BO11" s="60"/>
    </row>
    <row r="12" spans="1:67" ht="12.75">
      <c r="A12" s="49"/>
      <c r="B12" s="49"/>
      <c r="C12" s="49"/>
      <c r="D12" s="49" t="s">
        <v>101</v>
      </c>
      <c r="E12" s="46" t="s">
        <v>101</v>
      </c>
      <c r="F12" s="49" t="s">
        <v>102</v>
      </c>
      <c r="G12" s="49"/>
      <c r="H12" s="49"/>
      <c r="I12" s="49"/>
      <c r="J12" s="48" t="s">
        <v>187</v>
      </c>
      <c r="K12" s="73" t="s">
        <v>93</v>
      </c>
      <c r="L12" s="48" t="s">
        <v>94</v>
      </c>
      <c r="M12" s="116" t="s">
        <v>224</v>
      </c>
      <c r="N12" s="117"/>
      <c r="O12" s="48" t="s">
        <v>95</v>
      </c>
      <c r="P12" s="48" t="s">
        <v>208</v>
      </c>
      <c r="Q12" s="48" t="s">
        <v>96</v>
      </c>
      <c r="R12" s="48" t="s">
        <v>86</v>
      </c>
      <c r="S12" s="48" t="s">
        <v>187</v>
      </c>
      <c r="T12" s="50" t="s">
        <v>188</v>
      </c>
      <c r="U12" s="51"/>
      <c r="V12" s="52"/>
      <c r="W12" s="45" t="s">
        <v>189</v>
      </c>
      <c r="X12" s="55"/>
      <c r="Y12" s="55"/>
      <c r="Z12" s="55"/>
      <c r="AA12" s="56"/>
      <c r="AB12" s="48" t="s">
        <v>187</v>
      </c>
      <c r="AC12" s="50" t="s">
        <v>188</v>
      </c>
      <c r="AD12" s="51"/>
      <c r="AE12" s="52"/>
      <c r="AF12" s="45" t="s">
        <v>189</v>
      </c>
      <c r="AG12" s="55"/>
      <c r="AH12" s="55"/>
      <c r="AI12" s="55"/>
      <c r="AJ12" s="56"/>
      <c r="AK12" s="48" t="s">
        <v>187</v>
      </c>
      <c r="AL12" s="50" t="s">
        <v>188</v>
      </c>
      <c r="AM12" s="51"/>
      <c r="AN12" s="52"/>
      <c r="AO12" s="45" t="s">
        <v>189</v>
      </c>
      <c r="AP12" s="55"/>
      <c r="AQ12" s="55"/>
      <c r="AR12" s="55"/>
      <c r="AS12" s="56"/>
      <c r="AT12" s="50" t="s">
        <v>77</v>
      </c>
      <c r="AU12" s="51"/>
      <c r="AV12" s="51"/>
      <c r="AW12" s="51"/>
      <c r="AX12" s="51"/>
      <c r="AY12" s="52"/>
      <c r="AZ12" s="170">
        <f>I75</f>
        <v>5699670</v>
      </c>
      <c r="BA12" s="176">
        <v>3.17465</v>
      </c>
      <c r="BB12" s="174">
        <f>AZ12*BA12</f>
        <v>18094457.3655</v>
      </c>
      <c r="BG12" s="57"/>
      <c r="BH12" s="42"/>
      <c r="BI12" s="57"/>
      <c r="BJ12" s="223"/>
      <c r="BK12" s="223"/>
      <c r="BL12" s="231"/>
      <c r="BM12" s="230"/>
      <c r="BN12" s="57"/>
      <c r="BO12" s="60"/>
    </row>
    <row r="13" spans="1:67" ht="14.25" customHeigh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97</v>
      </c>
      <c r="N13" s="50" t="s">
        <v>98</v>
      </c>
      <c r="O13" s="74" t="s">
        <v>99</v>
      </c>
      <c r="P13" s="74" t="s">
        <v>85</v>
      </c>
      <c r="Q13" s="74"/>
      <c r="R13" s="74" t="s">
        <v>100</v>
      </c>
      <c r="S13" s="49"/>
      <c r="T13" s="46"/>
      <c r="U13" s="53"/>
      <c r="V13" s="54"/>
      <c r="W13" s="57" t="s">
        <v>190</v>
      </c>
      <c r="X13" s="57" t="s">
        <v>191</v>
      </c>
      <c r="Y13" s="57" t="s">
        <v>192</v>
      </c>
      <c r="Z13" s="57" t="s">
        <v>193</v>
      </c>
      <c r="AA13" s="57" t="s">
        <v>194</v>
      </c>
      <c r="AB13" s="49"/>
      <c r="AC13" s="46"/>
      <c r="AD13" s="53"/>
      <c r="AE13" s="54"/>
      <c r="AF13" s="57" t="s">
        <v>190</v>
      </c>
      <c r="AG13" s="57" t="s">
        <v>191</v>
      </c>
      <c r="AH13" s="57" t="s">
        <v>192</v>
      </c>
      <c r="AI13" s="57" t="s">
        <v>193</v>
      </c>
      <c r="AJ13" s="57" t="s">
        <v>194</v>
      </c>
      <c r="AK13" s="49"/>
      <c r="AL13" s="46"/>
      <c r="AM13" s="53"/>
      <c r="AN13" s="54"/>
      <c r="AO13" s="57" t="s">
        <v>190</v>
      </c>
      <c r="AP13" s="57" t="s">
        <v>191</v>
      </c>
      <c r="AQ13" s="57" t="s">
        <v>192</v>
      </c>
      <c r="AR13" s="57" t="s">
        <v>193</v>
      </c>
      <c r="AS13" s="57" t="s">
        <v>194</v>
      </c>
      <c r="AT13" s="45" t="s">
        <v>70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  <c r="BG13" s="57"/>
      <c r="BH13" s="42"/>
      <c r="BI13" s="106"/>
      <c r="BJ13" s="223"/>
      <c r="BK13" s="223"/>
      <c r="BL13" s="231"/>
      <c r="BM13" s="230"/>
      <c r="BN13" s="57"/>
      <c r="BO13" s="60"/>
    </row>
    <row r="14" spans="1:67" ht="14.25" customHeight="1">
      <c r="A14" s="46"/>
      <c r="B14" s="53"/>
      <c r="C14" s="209" t="s">
        <v>103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101</v>
      </c>
      <c r="N14" s="46" t="s">
        <v>101</v>
      </c>
      <c r="O14" s="49" t="s">
        <v>102</v>
      </c>
      <c r="P14" s="49"/>
      <c r="Q14" s="49"/>
      <c r="R14" s="49"/>
      <c r="S14" s="57">
        <v>1</v>
      </c>
      <c r="T14" s="44" t="s">
        <v>61</v>
      </c>
      <c r="U14" s="44"/>
      <c r="V14" s="44"/>
      <c r="W14" s="60">
        <f aca="true" t="shared" si="0" ref="W14:W25">SUM(X14:AA14)</f>
        <v>8739965</v>
      </c>
      <c r="X14" s="60">
        <f>SUM(X15:X26)</f>
        <v>7399716</v>
      </c>
      <c r="Y14" s="60">
        <f>SUM(Y15:Y27)</f>
        <v>0</v>
      </c>
      <c r="Z14" s="60">
        <f>SUM(Z15:Z26)</f>
        <v>1340249</v>
      </c>
      <c r="AA14" s="57">
        <f>SUM(AA15:AA27)</f>
        <v>0</v>
      </c>
      <c r="AB14" s="57"/>
      <c r="AC14" s="44" t="s">
        <v>41</v>
      </c>
      <c r="AD14" s="44"/>
      <c r="AE14" s="44"/>
      <c r="AF14" s="67">
        <f>SUM(AG14:AJ14)</f>
        <v>207985</v>
      </c>
      <c r="AG14" s="60">
        <f>SUM(AG16:AG22)</f>
        <v>197779</v>
      </c>
      <c r="AH14" s="60">
        <f>SUM(AH16:AH22)</f>
        <v>0</v>
      </c>
      <c r="AI14" s="60">
        <f>SUM(AI16:AI22)</f>
        <v>10206</v>
      </c>
      <c r="AJ14" s="57">
        <f>SUM(AJ16:AJ22)</f>
        <v>0</v>
      </c>
      <c r="AK14" s="73">
        <v>1</v>
      </c>
      <c r="AL14" s="48" t="s">
        <v>41</v>
      </c>
      <c r="AM14" s="48"/>
      <c r="AN14" s="48"/>
      <c r="AO14" s="75">
        <f>SUM(AP14:AS14)</f>
        <v>62239</v>
      </c>
      <c r="AP14" s="75">
        <f>SUM(AP16:AP17)</f>
        <v>0</v>
      </c>
      <c r="AQ14" s="75">
        <f>SUM(AQ16:AQ17)</f>
        <v>0</v>
      </c>
      <c r="AR14" s="75">
        <f>ROUND(SUM(AR16:AR20),0)</f>
        <v>62239</v>
      </c>
      <c r="AS14" s="73">
        <f>SUM(AS16:AS17)</f>
        <v>0</v>
      </c>
      <c r="AT14" s="49" t="s">
        <v>214</v>
      </c>
      <c r="AU14" s="49"/>
      <c r="AV14" s="49"/>
      <c r="AW14" s="49"/>
      <c r="AX14" s="49"/>
      <c r="AY14" s="49"/>
      <c r="AZ14" s="170">
        <f>SUM(AZ15:AZ21)</f>
        <v>921</v>
      </c>
      <c r="BA14" s="177"/>
      <c r="BB14" s="174">
        <f>SUM(BB15:BB21)</f>
        <v>4503.98988</v>
      </c>
      <c r="BG14" s="57"/>
      <c r="BH14" s="42"/>
      <c r="BI14" s="57"/>
      <c r="BJ14" s="223"/>
      <c r="BK14" s="223"/>
      <c r="BL14" s="231"/>
      <c r="BM14" s="230"/>
      <c r="BN14" s="57"/>
      <c r="BO14" s="60"/>
    </row>
    <row r="15" spans="1:67" ht="12.75">
      <c r="A15" s="46"/>
      <c r="B15" s="45" t="s">
        <v>253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47</v>
      </c>
      <c r="T15" s="50" t="s">
        <v>26</v>
      </c>
      <c r="U15" s="51"/>
      <c r="V15" s="51"/>
      <c r="W15" s="67">
        <f t="shared" si="0"/>
        <v>4676921</v>
      </c>
      <c r="X15" s="88">
        <f>ROUND(I20,0)</f>
        <v>4676921</v>
      </c>
      <c r="Y15" s="73">
        <v>0</v>
      </c>
      <c r="Z15" s="73">
        <v>0</v>
      </c>
      <c r="AA15" s="73">
        <v>0</v>
      </c>
      <c r="AB15" s="73">
        <v>1</v>
      </c>
      <c r="AC15" s="50" t="s">
        <v>273</v>
      </c>
      <c r="AD15" s="51"/>
      <c r="AE15" s="52"/>
      <c r="AF15" s="66"/>
      <c r="AG15" s="69"/>
      <c r="AH15" s="69"/>
      <c r="AI15" s="69"/>
      <c r="AJ15" s="192"/>
      <c r="AK15" s="208"/>
      <c r="AL15" s="50" t="s">
        <v>275</v>
      </c>
      <c r="AM15" s="51"/>
      <c r="AN15" s="52"/>
      <c r="AO15" s="75"/>
      <c r="AP15" s="73"/>
      <c r="AQ15" s="73"/>
      <c r="AR15" s="75"/>
      <c r="AS15" s="73"/>
      <c r="AT15" s="52" t="s">
        <v>71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  <c r="BG15" s="57"/>
      <c r="BH15" s="42"/>
      <c r="BI15" s="57"/>
      <c r="BJ15" s="223"/>
      <c r="BK15" s="57"/>
      <c r="BL15" s="231"/>
      <c r="BM15" s="230"/>
      <c r="BN15" s="57"/>
      <c r="BO15" s="60"/>
    </row>
    <row r="16" spans="1:67" ht="12.75">
      <c r="A16" s="73">
        <v>1</v>
      </c>
      <c r="B16" s="48" t="s">
        <v>143</v>
      </c>
      <c r="C16" s="90">
        <v>804152757</v>
      </c>
      <c r="D16" s="121">
        <v>4966.4131</v>
      </c>
      <c r="E16" s="121">
        <v>5069.0767</v>
      </c>
      <c r="F16" s="60">
        <v>36000</v>
      </c>
      <c r="G16" s="142">
        <f>E16-D16</f>
        <v>102.66359999999986</v>
      </c>
      <c r="H16" s="44"/>
      <c r="I16" s="60">
        <f>ROUND((F16*G16+H16),0)</f>
        <v>3695890</v>
      </c>
      <c r="J16" s="46"/>
      <c r="K16" s="53"/>
      <c r="L16" s="53" t="s">
        <v>103</v>
      </c>
      <c r="M16" s="53"/>
      <c r="N16" s="53"/>
      <c r="O16" s="53"/>
      <c r="P16" s="53"/>
      <c r="Q16" s="53"/>
      <c r="R16" s="54"/>
      <c r="S16" s="61" t="s">
        <v>48</v>
      </c>
      <c r="T16" s="63" t="s">
        <v>27</v>
      </c>
      <c r="U16" s="64"/>
      <c r="V16" s="64"/>
      <c r="W16" s="67">
        <f t="shared" si="0"/>
        <v>0</v>
      </c>
      <c r="X16" s="81">
        <f>ROUND(I27,0)</f>
        <v>0</v>
      </c>
      <c r="Y16" s="70">
        <v>0</v>
      </c>
      <c r="Z16" s="67">
        <v>0</v>
      </c>
      <c r="AA16" s="70">
        <v>0</v>
      </c>
      <c r="AB16" s="61" t="s">
        <v>47</v>
      </c>
      <c r="AC16" s="63" t="s">
        <v>195</v>
      </c>
      <c r="AD16" s="64"/>
      <c r="AE16" s="65"/>
      <c r="AF16" s="67">
        <f>AG16+AH16+AI16+AJ16</f>
        <v>197779</v>
      </c>
      <c r="AG16" s="67">
        <v>197779</v>
      </c>
      <c r="AH16" s="70">
        <v>0</v>
      </c>
      <c r="AI16" s="67">
        <v>0</v>
      </c>
      <c r="AJ16" s="87">
        <v>0</v>
      </c>
      <c r="AK16" s="61" t="s">
        <v>47</v>
      </c>
      <c r="AL16" s="63" t="s">
        <v>14</v>
      </c>
      <c r="AM16" s="64"/>
      <c r="AN16" s="65"/>
      <c r="AO16" s="67">
        <f>AP16+AQ16+AR16+AS16</f>
        <v>242</v>
      </c>
      <c r="AP16" s="70">
        <v>0</v>
      </c>
      <c r="AQ16" s="70">
        <v>0</v>
      </c>
      <c r="AR16" s="67">
        <v>242</v>
      </c>
      <c r="AS16" s="70">
        <v>0</v>
      </c>
      <c r="AT16" s="52" t="s">
        <v>71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  <c r="BG16" s="44"/>
      <c r="BH16" s="44"/>
      <c r="BI16" s="106"/>
      <c r="BJ16" s="121"/>
      <c r="BK16" s="121"/>
      <c r="BL16" s="60"/>
      <c r="BM16" s="142"/>
      <c r="BN16" s="57"/>
      <c r="BO16" s="60"/>
    </row>
    <row r="17" spans="1:67" ht="12.75">
      <c r="A17" s="49"/>
      <c r="B17" s="46" t="s">
        <v>144</v>
      </c>
      <c r="C17" s="106">
        <v>109054169</v>
      </c>
      <c r="D17" s="121">
        <v>7595.7368</v>
      </c>
      <c r="E17" s="121">
        <v>7769.3908</v>
      </c>
      <c r="F17" s="60">
        <v>36000</v>
      </c>
      <c r="G17" s="142">
        <f>E17-D17</f>
        <v>173.65400000000045</v>
      </c>
      <c r="H17" s="44"/>
      <c r="I17" s="60">
        <f>F17*G17+H17</f>
        <v>6251544.000000016</v>
      </c>
      <c r="J17" s="44"/>
      <c r="K17" s="45" t="s">
        <v>104</v>
      </c>
      <c r="L17" s="55"/>
      <c r="M17" s="55"/>
      <c r="N17" s="55"/>
      <c r="O17" s="55"/>
      <c r="P17" s="55"/>
      <c r="Q17" s="55"/>
      <c r="R17" s="56"/>
      <c r="S17" s="61" t="s">
        <v>49</v>
      </c>
      <c r="T17" s="63" t="s">
        <v>28</v>
      </c>
      <c r="U17" s="64"/>
      <c r="V17" s="64"/>
      <c r="W17" s="67">
        <f t="shared" si="0"/>
        <v>558168</v>
      </c>
      <c r="X17" s="81">
        <f>ROUND(I29,0)</f>
        <v>558168</v>
      </c>
      <c r="Y17" s="70">
        <v>0</v>
      </c>
      <c r="Z17" s="67">
        <v>0</v>
      </c>
      <c r="AA17" s="70">
        <v>0</v>
      </c>
      <c r="AB17" s="61" t="s">
        <v>48</v>
      </c>
      <c r="AC17" s="63" t="s">
        <v>69</v>
      </c>
      <c r="AD17" s="64"/>
      <c r="AE17" s="65"/>
      <c r="AF17" s="67">
        <f>AG17+AH17+AI17+AJ17</f>
        <v>1780</v>
      </c>
      <c r="AG17" s="70">
        <v>0</v>
      </c>
      <c r="AH17" s="70">
        <v>0</v>
      </c>
      <c r="AI17" s="67">
        <v>1780</v>
      </c>
      <c r="AJ17" s="87">
        <v>0</v>
      </c>
      <c r="AK17" s="61" t="s">
        <v>48</v>
      </c>
      <c r="AL17" s="63" t="s">
        <v>163</v>
      </c>
      <c r="AM17" s="64"/>
      <c r="AN17" s="65"/>
      <c r="AO17" s="67">
        <f>AP17+AQ17+AR17+AS17</f>
        <v>304</v>
      </c>
      <c r="AP17" s="70">
        <v>0</v>
      </c>
      <c r="AQ17" s="70">
        <v>0</v>
      </c>
      <c r="AR17" s="67">
        <v>304</v>
      </c>
      <c r="AS17" s="70">
        <v>0</v>
      </c>
      <c r="AT17" s="51" t="s">
        <v>43</v>
      </c>
      <c r="AU17" s="51"/>
      <c r="AV17" s="51"/>
      <c r="AW17" s="51"/>
      <c r="AX17" s="51"/>
      <c r="AY17" s="52"/>
      <c r="AZ17" s="170">
        <f>R21</f>
        <v>360</v>
      </c>
      <c r="BA17" s="180">
        <v>3.41</v>
      </c>
      <c r="BB17" s="174">
        <f>AZ17*BA17</f>
        <v>1227.6000000000001</v>
      </c>
      <c r="BG17" s="44"/>
      <c r="BH17" s="44"/>
      <c r="BI17" s="57"/>
      <c r="BJ17" s="57"/>
      <c r="BK17" s="57"/>
      <c r="BL17" s="57"/>
      <c r="BM17" s="57"/>
      <c r="BN17" s="57"/>
      <c r="BO17" s="57"/>
    </row>
    <row r="18" spans="1:67" ht="15" customHeight="1">
      <c r="A18" s="45"/>
      <c r="B18" s="55"/>
      <c r="C18" s="53"/>
      <c r="D18" s="55"/>
      <c r="E18" s="55"/>
      <c r="F18" s="107" t="s">
        <v>106</v>
      </c>
      <c r="G18" s="55"/>
      <c r="H18" s="56"/>
      <c r="I18" s="60">
        <f>ROUND((I16+I17+I22),0)</f>
        <v>10032922</v>
      </c>
      <c r="J18" s="57">
        <v>1</v>
      </c>
      <c r="K18" s="45" t="s">
        <v>105</v>
      </c>
      <c r="L18" s="55"/>
      <c r="M18" s="55"/>
      <c r="N18" s="55"/>
      <c r="O18" s="55"/>
      <c r="P18" s="55"/>
      <c r="Q18" s="55"/>
      <c r="R18" s="56"/>
      <c r="S18" s="61" t="s">
        <v>50</v>
      </c>
      <c r="T18" s="63" t="s">
        <v>29</v>
      </c>
      <c r="U18" s="64"/>
      <c r="V18" s="64"/>
      <c r="W18" s="67">
        <f t="shared" si="0"/>
        <v>283060</v>
      </c>
      <c r="X18" s="81">
        <f>ROUND(I31,0)</f>
        <v>283060</v>
      </c>
      <c r="Y18" s="70">
        <v>0</v>
      </c>
      <c r="Z18" s="67">
        <v>0</v>
      </c>
      <c r="AA18" s="70">
        <v>0</v>
      </c>
      <c r="AB18" s="62" t="s">
        <v>49</v>
      </c>
      <c r="AC18" s="53" t="s">
        <v>58</v>
      </c>
      <c r="AD18" s="53"/>
      <c r="AE18" s="53"/>
      <c r="AF18" s="68">
        <f>AG18+AH18+AI18+AJ18</f>
        <v>8426</v>
      </c>
      <c r="AG18" s="71">
        <v>0</v>
      </c>
      <c r="AH18" s="71">
        <v>0</v>
      </c>
      <c r="AI18" s="68">
        <v>8426</v>
      </c>
      <c r="AJ18" s="207">
        <v>0</v>
      </c>
      <c r="AK18" s="61" t="s">
        <v>49</v>
      </c>
      <c r="AL18" s="63" t="s">
        <v>40</v>
      </c>
      <c r="AM18" s="64"/>
      <c r="AN18" s="65"/>
      <c r="AO18" s="67">
        <f>AP18+AQ18+AR18+AS18</f>
        <v>47561</v>
      </c>
      <c r="AP18" s="70">
        <v>0</v>
      </c>
      <c r="AQ18" s="70">
        <v>0</v>
      </c>
      <c r="AR18" s="67">
        <v>47561</v>
      </c>
      <c r="AS18" s="70">
        <v>0</v>
      </c>
      <c r="AT18" s="51" t="s">
        <v>44</v>
      </c>
      <c r="AU18" s="51"/>
      <c r="AV18" s="51"/>
      <c r="AW18" s="51"/>
      <c r="AX18" s="51"/>
      <c r="AY18" s="52"/>
      <c r="AZ18" s="170">
        <f>R22</f>
        <v>40</v>
      </c>
      <c r="BA18" s="180">
        <v>1.62</v>
      </c>
      <c r="BB18" s="174">
        <f>AZ18*BA18</f>
        <v>64.80000000000001</v>
      </c>
      <c r="BG18" s="44"/>
      <c r="BH18" s="44"/>
      <c r="BI18" s="106"/>
      <c r="BJ18" s="57"/>
      <c r="BK18" s="57"/>
      <c r="BL18" s="60"/>
      <c r="BM18" s="57"/>
      <c r="BN18" s="57"/>
      <c r="BO18" s="57"/>
    </row>
    <row r="19" spans="1:67" ht="15" customHeight="1">
      <c r="A19" s="44" t="s">
        <v>107</v>
      </c>
      <c r="B19" s="45" t="s">
        <v>225</v>
      </c>
      <c r="C19" s="55"/>
      <c r="D19" s="55"/>
      <c r="E19" s="55"/>
      <c r="F19" s="55"/>
      <c r="G19" s="55"/>
      <c r="H19" s="55"/>
      <c r="I19" s="56"/>
      <c r="J19" s="73" t="s">
        <v>107</v>
      </c>
      <c r="K19" s="48" t="s">
        <v>173</v>
      </c>
      <c r="L19" s="73">
        <v>16654</v>
      </c>
      <c r="M19" s="124">
        <v>5615</v>
      </c>
      <c r="N19" s="124">
        <v>6136</v>
      </c>
      <c r="O19" s="73">
        <v>1</v>
      </c>
      <c r="P19" s="148">
        <f>N19-M19</f>
        <v>521</v>
      </c>
      <c r="Q19" s="149"/>
      <c r="R19" s="75">
        <f>O19*P19+Q19</f>
        <v>521</v>
      </c>
      <c r="S19" s="61" t="s">
        <v>55</v>
      </c>
      <c r="T19" s="63" t="s">
        <v>30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50</v>
      </c>
      <c r="AL19" s="63" t="s">
        <v>60</v>
      </c>
      <c r="AM19" s="64"/>
      <c r="AN19" s="65"/>
      <c r="AO19" s="67">
        <f>AP19+AQ19+AR19+AS19</f>
        <v>999</v>
      </c>
      <c r="AP19" s="67">
        <v>0</v>
      </c>
      <c r="AQ19" s="70">
        <v>0</v>
      </c>
      <c r="AR19" s="67">
        <v>999</v>
      </c>
      <c r="AS19" s="70">
        <v>0</v>
      </c>
      <c r="AT19" s="51" t="s">
        <v>78</v>
      </c>
      <c r="AU19" s="51"/>
      <c r="AV19" s="51"/>
      <c r="AW19" s="51"/>
      <c r="AX19" s="51"/>
      <c r="AY19" s="52"/>
      <c r="AZ19" s="181">
        <f>R19+R20</f>
        <v>521</v>
      </c>
      <c r="BA19" s="175">
        <v>6.16428</v>
      </c>
      <c r="BB19" s="174">
        <f>AZ19*BA19</f>
        <v>3211.58988</v>
      </c>
      <c r="BG19" s="44"/>
      <c r="BH19" s="44"/>
      <c r="BI19" s="106"/>
      <c r="BJ19" s="121"/>
      <c r="BK19" s="121"/>
      <c r="BL19" s="60"/>
      <c r="BM19" s="142"/>
      <c r="BN19" s="60"/>
      <c r="BO19" s="60"/>
    </row>
    <row r="20" spans="1:67" ht="12.75">
      <c r="A20" s="44" t="s">
        <v>109</v>
      </c>
      <c r="B20" s="44" t="s">
        <v>110</v>
      </c>
      <c r="C20" s="106">
        <v>109053225</v>
      </c>
      <c r="D20" s="121">
        <v>19347.8979</v>
      </c>
      <c r="E20" s="121">
        <v>19570.6084</v>
      </c>
      <c r="F20" s="60">
        <v>21000</v>
      </c>
      <c r="G20" s="142">
        <f>E20-D20</f>
        <v>222.71050000000105</v>
      </c>
      <c r="H20" s="44"/>
      <c r="I20" s="60">
        <f>ROUND((F20*G20+H20),0)</f>
        <v>4676921</v>
      </c>
      <c r="J20" s="49"/>
      <c r="K20" s="49" t="s">
        <v>174</v>
      </c>
      <c r="L20" s="49"/>
      <c r="M20" s="49"/>
      <c r="N20" s="49"/>
      <c r="O20" s="49"/>
      <c r="P20" s="80"/>
      <c r="Q20" s="150"/>
      <c r="R20" s="166"/>
      <c r="S20" s="61" t="s">
        <v>59</v>
      </c>
      <c r="T20" s="63" t="s">
        <v>31</v>
      </c>
      <c r="U20" s="64"/>
      <c r="V20" s="64"/>
      <c r="W20" s="67">
        <f t="shared" si="0"/>
        <v>807353</v>
      </c>
      <c r="X20" s="81">
        <f>ROUND(I35,0)</f>
        <v>807353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55</v>
      </c>
      <c r="AL20" s="46" t="s">
        <v>274</v>
      </c>
      <c r="AM20" s="53"/>
      <c r="AN20" s="54"/>
      <c r="AO20" s="68">
        <f>AP20+AQ20+AR20+AS20</f>
        <v>13133</v>
      </c>
      <c r="AP20" s="68"/>
      <c r="AQ20" s="71"/>
      <c r="AR20" s="68">
        <v>13133</v>
      </c>
      <c r="AS20" s="71"/>
      <c r="AT20" s="51" t="s">
        <v>213</v>
      </c>
      <c r="AU20" s="51"/>
      <c r="AV20" s="51"/>
      <c r="AW20" s="51"/>
      <c r="AX20" s="51"/>
      <c r="AY20" s="52"/>
      <c r="AZ20" s="170"/>
      <c r="BA20" s="180"/>
      <c r="BB20" s="169"/>
      <c r="BG20" s="48"/>
      <c r="BH20" s="48"/>
      <c r="BI20" s="90"/>
      <c r="BJ20" s="214"/>
      <c r="BK20" s="214"/>
      <c r="BL20" s="75"/>
      <c r="BM20" s="215"/>
      <c r="BN20" s="73"/>
      <c r="BO20" s="75"/>
    </row>
    <row r="21" spans="1:67" ht="12.75">
      <c r="A21" s="44" t="s">
        <v>254</v>
      </c>
      <c r="B21" s="55" t="s">
        <v>257</v>
      </c>
      <c r="C21" s="53"/>
      <c r="D21" s="55"/>
      <c r="E21" s="55"/>
      <c r="F21" s="107"/>
      <c r="G21" s="55"/>
      <c r="H21" s="56"/>
      <c r="I21" s="60"/>
      <c r="J21" s="48" t="s">
        <v>113</v>
      </c>
      <c r="K21" s="48" t="s">
        <v>176</v>
      </c>
      <c r="L21" s="225">
        <v>122848480</v>
      </c>
      <c r="M21" s="224">
        <v>521</v>
      </c>
      <c r="N21" s="224">
        <v>539</v>
      </c>
      <c r="O21" s="57">
        <v>20</v>
      </c>
      <c r="P21" s="223">
        <f>N21-M21</f>
        <v>18</v>
      </c>
      <c r="Q21" s="151"/>
      <c r="R21" s="60">
        <f>O21*P21+Q21</f>
        <v>360</v>
      </c>
      <c r="S21" s="61" t="s">
        <v>62</v>
      </c>
      <c r="T21" s="63" t="s">
        <v>32</v>
      </c>
      <c r="U21" s="64"/>
      <c r="V21" s="64"/>
      <c r="W21" s="67">
        <f t="shared" si="0"/>
        <v>228891</v>
      </c>
      <c r="X21" s="81">
        <f>ROUND(I37,0)</f>
        <v>228891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  <c r="BG21" s="49"/>
      <c r="BH21" s="49"/>
      <c r="BI21" s="71"/>
      <c r="BJ21" s="119"/>
      <c r="BK21" s="119"/>
      <c r="BL21" s="68"/>
      <c r="BM21" s="118"/>
      <c r="BN21" s="71"/>
      <c r="BO21" s="68"/>
    </row>
    <row r="22" spans="1:54" ht="12.75">
      <c r="A22" s="44" t="s">
        <v>255</v>
      </c>
      <c r="B22" s="45" t="s">
        <v>258</v>
      </c>
      <c r="C22" s="55"/>
      <c r="D22" s="55"/>
      <c r="E22" s="55"/>
      <c r="F22" s="55"/>
      <c r="G22" s="55"/>
      <c r="H22" s="56"/>
      <c r="I22" s="170">
        <v>85488</v>
      </c>
      <c r="J22" s="49"/>
      <c r="K22" s="49" t="s">
        <v>175</v>
      </c>
      <c r="L22" s="225">
        <v>122848480</v>
      </c>
      <c r="M22" s="224">
        <v>146</v>
      </c>
      <c r="N22" s="224">
        <v>148</v>
      </c>
      <c r="O22" s="57">
        <v>20</v>
      </c>
      <c r="P22" s="223">
        <f>N22-M22</f>
        <v>2</v>
      </c>
      <c r="Q22" s="151"/>
      <c r="R22" s="60">
        <f>O22*P22+Q22</f>
        <v>40</v>
      </c>
      <c r="S22" s="61" t="s">
        <v>63</v>
      </c>
      <c r="T22" s="63" t="s">
        <v>33</v>
      </c>
      <c r="U22" s="64"/>
      <c r="V22" s="64"/>
      <c r="W22" s="67">
        <f t="shared" si="0"/>
        <v>845323</v>
      </c>
      <c r="X22" s="81">
        <f>ROUND(I39,0)</f>
        <v>845323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</row>
    <row r="23" spans="1:54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161</v>
      </c>
      <c r="Q23" s="137"/>
      <c r="R23" s="60">
        <f>R19+R21+R22+R20</f>
        <v>921</v>
      </c>
      <c r="S23" s="61" t="s">
        <v>64</v>
      </c>
      <c r="T23" s="63" t="s">
        <v>34</v>
      </c>
      <c r="U23" s="64"/>
      <c r="V23" s="64"/>
      <c r="W23" s="67">
        <f t="shared" si="0"/>
        <v>1047706</v>
      </c>
      <c r="X23" s="81">
        <v>0</v>
      </c>
      <c r="Y23" s="70">
        <v>0</v>
      </c>
      <c r="Z23" s="67">
        <f>I26+I25</f>
        <v>1047706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</row>
    <row r="24" spans="1:54" ht="13.5" customHeight="1">
      <c r="A24" s="44" t="s">
        <v>113</v>
      </c>
      <c r="B24" s="46" t="s">
        <v>114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65</v>
      </c>
      <c r="T24" s="64" t="s">
        <v>35</v>
      </c>
      <c r="U24" s="64"/>
      <c r="V24" s="64"/>
      <c r="W24" s="67">
        <f t="shared" si="0"/>
        <v>38354</v>
      </c>
      <c r="X24" s="81">
        <v>0</v>
      </c>
      <c r="Y24" s="70">
        <v>0</v>
      </c>
      <c r="Z24" s="67">
        <f>I41</f>
        <v>38354</v>
      </c>
      <c r="AA24" s="70">
        <v>0</v>
      </c>
      <c r="AB24" s="58"/>
      <c r="AC24" s="47" t="s">
        <v>84</v>
      </c>
      <c r="AD24" s="47"/>
      <c r="AE24" s="47"/>
      <c r="AF24" s="59"/>
      <c r="AG24" s="59"/>
      <c r="AH24" s="59"/>
      <c r="AI24" s="59"/>
      <c r="AJ24" s="59"/>
      <c r="AK24" s="58"/>
      <c r="AL24" s="47" t="s">
        <v>164</v>
      </c>
      <c r="AM24" s="47"/>
      <c r="AN24" s="47"/>
      <c r="AO24" s="59"/>
      <c r="AP24" s="59"/>
      <c r="AQ24" s="59"/>
      <c r="AR24" s="59"/>
      <c r="AS24" s="59"/>
      <c r="AT24" s="152" t="s">
        <v>42</v>
      </c>
      <c r="AU24" s="135"/>
      <c r="AV24" s="135"/>
      <c r="AW24" s="135"/>
      <c r="AX24" s="135"/>
      <c r="AY24" s="153"/>
      <c r="AZ24" s="184"/>
      <c r="BA24" s="177"/>
      <c r="BB24" s="174"/>
    </row>
    <row r="25" spans="1:54" ht="12.75">
      <c r="A25" s="48" t="s">
        <v>115</v>
      </c>
      <c r="B25" s="48" t="s">
        <v>118</v>
      </c>
      <c r="C25" s="90"/>
      <c r="D25" s="212"/>
      <c r="E25" s="212"/>
      <c r="F25" s="68"/>
      <c r="G25" s="213"/>
      <c r="H25" s="68"/>
      <c r="I25" s="68"/>
      <c r="J25" s="63" t="s">
        <v>162</v>
      </c>
      <c r="K25" s="64"/>
      <c r="L25" s="64"/>
      <c r="M25" s="64"/>
      <c r="N25" s="64"/>
      <c r="O25" s="64"/>
      <c r="P25" s="85"/>
      <c r="Q25" s="128"/>
      <c r="R25" s="141"/>
      <c r="S25" s="61" t="s">
        <v>66</v>
      </c>
      <c r="T25" s="64" t="s">
        <v>36</v>
      </c>
      <c r="U25" s="64"/>
      <c r="V25" s="64"/>
      <c r="W25" s="67">
        <f t="shared" si="0"/>
        <v>216283</v>
      </c>
      <c r="X25" s="81">
        <v>0</v>
      </c>
      <c r="Y25" s="70">
        <v>0</v>
      </c>
      <c r="Z25" s="67">
        <f>I43</f>
        <v>216283</v>
      </c>
      <c r="AA25" s="70">
        <v>0</v>
      </c>
      <c r="AB25" s="58"/>
      <c r="AC25" s="47" t="s">
        <v>265</v>
      </c>
      <c r="AD25" s="47"/>
      <c r="AE25" s="47"/>
      <c r="AF25" s="47"/>
      <c r="AG25" s="47"/>
      <c r="AH25" s="47"/>
      <c r="AI25" s="47"/>
      <c r="AJ25" s="47"/>
      <c r="AK25" s="58"/>
      <c r="AL25" s="47" t="s">
        <v>265</v>
      </c>
      <c r="AM25" s="47"/>
      <c r="AN25" s="47"/>
      <c r="AO25" s="47"/>
      <c r="AP25" s="47"/>
      <c r="AQ25" s="47"/>
      <c r="AR25" s="47"/>
      <c r="AS25" s="47"/>
      <c r="AT25" s="46" t="s">
        <v>79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</row>
    <row r="26" spans="1:54" ht="12.75">
      <c r="A26" s="49"/>
      <c r="B26" s="49" t="s">
        <v>116</v>
      </c>
      <c r="C26" s="91">
        <v>109056121</v>
      </c>
      <c r="D26" s="212">
        <v>21689.6482</v>
      </c>
      <c r="E26" s="212">
        <v>21907.9202</v>
      </c>
      <c r="F26" s="68">
        <v>4800</v>
      </c>
      <c r="G26" s="213">
        <f aca="true" t="shared" si="1" ref="G26:G43">E26-D26</f>
        <v>218.27200000000084</v>
      </c>
      <c r="H26" s="68"/>
      <c r="I26" s="68">
        <f>ROUND(F26*G26+H26,0)</f>
        <v>1047706</v>
      </c>
      <c r="J26" s="114" t="s">
        <v>285</v>
      </c>
      <c r="K26" s="115"/>
      <c r="L26" s="115"/>
      <c r="M26" s="86"/>
      <c r="N26" s="53"/>
      <c r="O26" s="53"/>
      <c r="P26" s="53"/>
      <c r="Q26" s="53"/>
      <c r="R26" s="102"/>
      <c r="S26" s="62" t="s">
        <v>67</v>
      </c>
      <c r="T26" s="53" t="s">
        <v>37</v>
      </c>
      <c r="U26" s="53"/>
      <c r="V26" s="53"/>
      <c r="W26" s="68">
        <f>SUM(X26:AA26)</f>
        <v>37906</v>
      </c>
      <c r="X26" s="82">
        <v>0</v>
      </c>
      <c r="Y26" s="71">
        <v>0</v>
      </c>
      <c r="Z26" s="68">
        <f>I45+I46</f>
        <v>37906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80</v>
      </c>
      <c r="AU26" s="55"/>
      <c r="AV26" s="55"/>
      <c r="AW26" s="55"/>
      <c r="AX26" s="64"/>
      <c r="AY26" s="65"/>
      <c r="AZ26" s="185">
        <f>(X14+AG14+AP14)/1000</f>
        <v>7597.495</v>
      </c>
      <c r="BA26" s="169">
        <v>16</v>
      </c>
      <c r="BB26" s="174">
        <f>AZ26*BA26</f>
        <v>121559.92</v>
      </c>
    </row>
    <row r="27" spans="1:54" ht="12.75">
      <c r="A27" s="48" t="s">
        <v>117</v>
      </c>
      <c r="B27" s="48" t="s">
        <v>129</v>
      </c>
      <c r="C27" s="90">
        <v>623125232</v>
      </c>
      <c r="D27" s="214">
        <v>9240.7087</v>
      </c>
      <c r="E27" s="214">
        <v>9240.7087</v>
      </c>
      <c r="F27" s="75">
        <v>1800</v>
      </c>
      <c r="G27" s="215">
        <f t="shared" si="1"/>
        <v>0</v>
      </c>
      <c r="H27" s="73"/>
      <c r="I27" s="75">
        <f>ROUND(G27*F27,0)</f>
        <v>0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81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</row>
    <row r="28" spans="1:54" ht="12.75">
      <c r="A28" s="49"/>
      <c r="B28" s="49" t="s">
        <v>116</v>
      </c>
      <c r="C28" s="71"/>
      <c r="D28" s="119"/>
      <c r="E28" s="119"/>
      <c r="F28" s="68"/>
      <c r="G28" s="118"/>
      <c r="H28" s="71"/>
      <c r="I28" s="68"/>
      <c r="J28" s="64" t="s">
        <v>165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219</v>
      </c>
      <c r="AC28" s="47"/>
      <c r="AD28" s="47"/>
      <c r="AE28" s="47"/>
      <c r="AF28" s="47"/>
      <c r="AG28" s="47" t="s">
        <v>220</v>
      </c>
      <c r="AH28" s="47"/>
      <c r="AI28" s="47" t="s">
        <v>221</v>
      </c>
      <c r="AJ28" s="47"/>
      <c r="AK28" s="47" t="s">
        <v>219</v>
      </c>
      <c r="AL28" s="47"/>
      <c r="AM28" s="47"/>
      <c r="AN28" s="47"/>
      <c r="AO28" s="47"/>
      <c r="AP28" s="47" t="s">
        <v>53</v>
      </c>
      <c r="AQ28" s="47"/>
      <c r="AR28" s="47" t="s">
        <v>54</v>
      </c>
      <c r="AS28" s="47"/>
      <c r="AT28" s="63" t="s">
        <v>82</v>
      </c>
      <c r="AU28" s="64"/>
      <c r="AV28" s="64"/>
      <c r="AW28" s="64"/>
      <c r="AX28" s="51"/>
      <c r="AY28" s="52"/>
      <c r="AZ28" s="185">
        <f>(Z14+AI14+AR14)/1000</f>
        <v>1412.694</v>
      </c>
      <c r="BA28" s="169">
        <v>16</v>
      </c>
      <c r="BB28" s="174">
        <f>AZ28*BA28</f>
        <v>22603.104</v>
      </c>
    </row>
    <row r="29" spans="1:54" ht="12.75">
      <c r="A29" s="48" t="s">
        <v>119</v>
      </c>
      <c r="B29" s="48" t="s">
        <v>130</v>
      </c>
      <c r="C29" s="90">
        <v>623125667</v>
      </c>
      <c r="D29" s="214">
        <v>11271.1471</v>
      </c>
      <c r="E29" s="214">
        <v>11581.2405</v>
      </c>
      <c r="F29" s="75">
        <v>1800</v>
      </c>
      <c r="G29" s="215">
        <f t="shared" si="1"/>
        <v>310.09339999999975</v>
      </c>
      <c r="H29" s="73"/>
      <c r="I29" s="75">
        <f>ROUND(G29*F29,0)</f>
        <v>558168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286</v>
      </c>
      <c r="AC29" s="47"/>
      <c r="AD29" s="47"/>
      <c r="AE29" s="47"/>
      <c r="AF29" s="47"/>
      <c r="AG29" s="47" t="s">
        <v>52</v>
      </c>
      <c r="AH29" s="47"/>
      <c r="AI29" s="47"/>
      <c r="AJ29" s="47"/>
      <c r="AK29" s="47" t="s">
        <v>286</v>
      </c>
      <c r="AL29" s="47"/>
      <c r="AM29" s="47"/>
      <c r="AN29" s="47"/>
      <c r="AO29" s="47"/>
      <c r="AP29" s="47" t="s">
        <v>52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</row>
    <row r="30" spans="1:54" ht="12.75">
      <c r="A30" s="49"/>
      <c r="B30" s="49" t="s">
        <v>116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</row>
    <row r="31" spans="1:54" ht="12.75">
      <c r="A31" s="48" t="s">
        <v>120</v>
      </c>
      <c r="B31" s="48" t="s">
        <v>131</v>
      </c>
      <c r="C31" s="90">
        <v>623126370</v>
      </c>
      <c r="D31" s="214">
        <v>3006.8687</v>
      </c>
      <c r="E31" s="214">
        <v>3065.8395</v>
      </c>
      <c r="F31" s="75">
        <v>4800</v>
      </c>
      <c r="G31" s="215">
        <f t="shared" si="1"/>
        <v>58.970800000000054</v>
      </c>
      <c r="H31" s="73"/>
      <c r="I31" s="75">
        <f>ROUND(G31*F31,0)</f>
        <v>283060</v>
      </c>
      <c r="J31" s="64"/>
      <c r="K31" s="64"/>
      <c r="L31" s="154"/>
      <c r="M31" s="78"/>
      <c r="N31" s="155" t="s">
        <v>166</v>
      </c>
      <c r="O31" s="155"/>
      <c r="P31" s="83"/>
      <c r="Q31" s="64"/>
      <c r="R31" s="85"/>
      <c r="S31" s="47" t="s">
        <v>219</v>
      </c>
      <c r="T31" s="47"/>
      <c r="U31" s="47"/>
      <c r="V31" s="47"/>
      <c r="W31" s="47"/>
      <c r="X31" s="47" t="s">
        <v>220</v>
      </c>
      <c r="Y31" s="47"/>
      <c r="Z31" s="47" t="s">
        <v>221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</row>
    <row r="32" spans="1:54" ht="12.75">
      <c r="A32" s="49"/>
      <c r="B32" s="49" t="s">
        <v>116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261</v>
      </c>
      <c r="O32" s="155"/>
      <c r="P32" s="83"/>
      <c r="Q32" s="64"/>
      <c r="R32" s="85"/>
      <c r="S32" s="47" t="s">
        <v>286</v>
      </c>
      <c r="T32" s="47"/>
      <c r="U32" s="47"/>
      <c r="V32" s="47"/>
      <c r="W32" s="47"/>
      <c r="X32" s="47" t="s">
        <v>52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217</v>
      </c>
      <c r="AU32" s="51"/>
      <c r="AV32" s="51"/>
      <c r="AW32" s="51"/>
      <c r="AX32" s="51"/>
      <c r="AY32" s="52"/>
      <c r="AZ32" s="170"/>
      <c r="BA32" s="187"/>
      <c r="BB32" s="169"/>
    </row>
    <row r="33" spans="1:54" ht="12.75">
      <c r="A33" s="48" t="s">
        <v>121</v>
      </c>
      <c r="B33" s="48" t="s">
        <v>132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286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51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215</v>
      </c>
      <c r="AU33" s="51"/>
      <c r="AV33" s="51"/>
      <c r="AW33" s="51"/>
      <c r="AX33" s="51"/>
      <c r="AY33" s="52"/>
      <c r="AZ33" s="170"/>
      <c r="BA33" s="177"/>
      <c r="BB33" s="169"/>
    </row>
    <row r="34" spans="1:54" ht="12.75">
      <c r="A34" s="49"/>
      <c r="B34" s="49" t="s">
        <v>116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51</v>
      </c>
      <c r="AL34" s="47"/>
      <c r="AM34" s="47"/>
      <c r="AN34" s="47"/>
      <c r="AO34" s="47"/>
      <c r="AP34" s="47"/>
      <c r="AQ34" s="47"/>
      <c r="AR34" s="47"/>
      <c r="AS34" s="47"/>
      <c r="AT34" s="50" t="s">
        <v>218</v>
      </c>
      <c r="AU34" s="51"/>
      <c r="AV34" s="51"/>
      <c r="AW34" s="51"/>
      <c r="AX34" s="51"/>
      <c r="AY34" s="52"/>
      <c r="AZ34" s="170"/>
      <c r="BA34" s="182"/>
      <c r="BB34" s="169"/>
    </row>
    <row r="35" spans="1:54" ht="12.75">
      <c r="A35" s="48" t="s">
        <v>122</v>
      </c>
      <c r="B35" s="48" t="s">
        <v>133</v>
      </c>
      <c r="C35" s="90">
        <v>623125142</v>
      </c>
      <c r="D35" s="214">
        <v>14801.043</v>
      </c>
      <c r="E35" s="214">
        <v>15137.44</v>
      </c>
      <c r="F35" s="75">
        <v>2400</v>
      </c>
      <c r="G35" s="215">
        <f t="shared" si="1"/>
        <v>336.39700000000084</v>
      </c>
      <c r="H35" s="73"/>
      <c r="I35" s="75">
        <f>ROUND(G35*F35,0)</f>
        <v>807353</v>
      </c>
      <c r="J35" s="64"/>
      <c r="K35" s="64"/>
      <c r="L35" s="154"/>
      <c r="M35" s="78"/>
      <c r="N35" s="156" t="s">
        <v>168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68</v>
      </c>
      <c r="AC35" s="47"/>
      <c r="AD35" s="47"/>
      <c r="AE35" s="47"/>
      <c r="AF35" s="47"/>
      <c r="AG35" s="47" t="s">
        <v>39</v>
      </c>
      <c r="AH35" s="47"/>
      <c r="AI35" s="47" t="s">
        <v>38</v>
      </c>
      <c r="AJ35" s="47"/>
      <c r="AK35" s="47" t="s">
        <v>222</v>
      </c>
      <c r="AL35" s="47"/>
      <c r="AM35" s="47"/>
      <c r="AN35" s="47"/>
      <c r="AO35" s="47"/>
      <c r="AP35" s="47"/>
      <c r="AQ35" s="47" t="s">
        <v>223</v>
      </c>
      <c r="AR35" s="47"/>
      <c r="AS35" s="47"/>
      <c r="AT35" s="50" t="s">
        <v>215</v>
      </c>
      <c r="AU35" s="51"/>
      <c r="AV35" s="51"/>
      <c r="AW35" s="51"/>
      <c r="AX35" s="51"/>
      <c r="AY35" s="52"/>
      <c r="AZ35" s="170"/>
      <c r="BA35" s="182"/>
      <c r="BB35" s="169"/>
    </row>
    <row r="36" spans="1:54" ht="12.75">
      <c r="A36" s="49"/>
      <c r="B36" s="49" t="s">
        <v>116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167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83</v>
      </c>
      <c r="AC36" s="47"/>
      <c r="AD36" s="47"/>
      <c r="AE36" s="47"/>
      <c r="AF36" s="47"/>
      <c r="AG36" s="47" t="s">
        <v>52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52</v>
      </c>
      <c r="AR36" s="47"/>
      <c r="AS36" s="47"/>
      <c r="AT36" s="50" t="s">
        <v>215</v>
      </c>
      <c r="AU36" s="51"/>
      <c r="AV36" s="51"/>
      <c r="AW36" s="51"/>
      <c r="AX36" s="51"/>
      <c r="AY36" s="52"/>
      <c r="AZ36" s="170"/>
      <c r="BA36" s="182"/>
      <c r="BB36" s="169"/>
    </row>
    <row r="37" spans="1:54" ht="12.75">
      <c r="A37" s="48" t="s">
        <v>123</v>
      </c>
      <c r="B37" s="48" t="s">
        <v>134</v>
      </c>
      <c r="C37" s="90">
        <v>623125205</v>
      </c>
      <c r="D37" s="214">
        <v>5398.5313</v>
      </c>
      <c r="E37" s="214">
        <v>5525.6932</v>
      </c>
      <c r="F37" s="75">
        <v>1800</v>
      </c>
      <c r="G37" s="215">
        <f t="shared" si="1"/>
        <v>127.16190000000006</v>
      </c>
      <c r="H37" s="73"/>
      <c r="I37" s="75">
        <f>ROUND(G37*F37,0)</f>
        <v>228891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281</v>
      </c>
      <c r="T37" s="47"/>
      <c r="U37" s="47"/>
      <c r="V37" s="47"/>
      <c r="W37" s="47"/>
      <c r="X37" s="47" t="s">
        <v>220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182</v>
      </c>
      <c r="AU37" s="51"/>
      <c r="AV37" s="51"/>
      <c r="AW37" s="51"/>
      <c r="AX37" s="51"/>
      <c r="AY37" s="52"/>
      <c r="AZ37" s="170"/>
      <c r="BA37" s="177"/>
      <c r="BB37" s="169"/>
    </row>
    <row r="38" spans="1:54" ht="12.75">
      <c r="A38" s="49"/>
      <c r="B38" s="49" t="s">
        <v>116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52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215</v>
      </c>
      <c r="AU38" s="51"/>
      <c r="AV38" s="51" t="s">
        <v>23</v>
      </c>
      <c r="AW38" s="51"/>
      <c r="AX38" s="51"/>
      <c r="AY38" s="52"/>
      <c r="AZ38" s="170"/>
      <c r="BA38" s="182"/>
      <c r="BB38" s="169"/>
    </row>
    <row r="39" spans="1:54" ht="12.75">
      <c r="A39" s="48" t="s">
        <v>124</v>
      </c>
      <c r="B39" s="48" t="s">
        <v>135</v>
      </c>
      <c r="C39" s="90">
        <v>623123704</v>
      </c>
      <c r="D39" s="214">
        <v>9071.5185</v>
      </c>
      <c r="E39" s="214">
        <v>9541.1426</v>
      </c>
      <c r="F39" s="75">
        <v>1800</v>
      </c>
      <c r="G39" s="215">
        <f t="shared" si="1"/>
        <v>469.6240999999991</v>
      </c>
      <c r="H39" s="73"/>
      <c r="I39" s="75">
        <f>ROUND(G39*F39,0)</f>
        <v>845323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216</v>
      </c>
      <c r="AU39" s="51"/>
      <c r="AV39" s="51" t="s">
        <v>213</v>
      </c>
      <c r="AW39" s="51"/>
      <c r="AX39" s="51"/>
      <c r="AY39" s="52"/>
      <c r="AZ39" s="170"/>
      <c r="BA39" s="182"/>
      <c r="BB39" s="169"/>
    </row>
    <row r="40" spans="1:54" ht="12.75">
      <c r="A40" s="49"/>
      <c r="B40" s="49" t="s">
        <v>116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</row>
    <row r="41" spans="1:54" ht="12.75">
      <c r="A41" s="48" t="s">
        <v>125</v>
      </c>
      <c r="B41" s="48" t="s">
        <v>136</v>
      </c>
      <c r="C41" s="90">
        <v>623125794</v>
      </c>
      <c r="D41" s="214">
        <v>191.8954</v>
      </c>
      <c r="E41" s="214">
        <v>213.2032</v>
      </c>
      <c r="F41" s="75">
        <v>1800</v>
      </c>
      <c r="G41" s="215">
        <f t="shared" si="1"/>
        <v>21.307800000000015</v>
      </c>
      <c r="H41" s="73"/>
      <c r="I41" s="75">
        <f>ROUND(G41*F41,0)</f>
        <v>38354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</row>
    <row r="42" spans="1:54" ht="12.75">
      <c r="A42" s="49"/>
      <c r="B42" s="49" t="s">
        <v>116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</row>
    <row r="43" spans="1:54" ht="12.75">
      <c r="A43" s="48" t="s">
        <v>126</v>
      </c>
      <c r="B43" s="48" t="s">
        <v>137</v>
      </c>
      <c r="C43" s="90">
        <v>623125736</v>
      </c>
      <c r="D43" s="214">
        <v>4760.248</v>
      </c>
      <c r="E43" s="214">
        <v>4940.4842</v>
      </c>
      <c r="F43" s="75">
        <v>1200</v>
      </c>
      <c r="G43" s="215">
        <f t="shared" si="1"/>
        <v>180.23620000000028</v>
      </c>
      <c r="H43" s="73"/>
      <c r="I43" s="75">
        <f>ROUND(G43*F43,0)</f>
        <v>216283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182</v>
      </c>
      <c r="AU43" s="51"/>
      <c r="AV43" s="51"/>
      <c r="AW43" s="51"/>
      <c r="AX43" s="51"/>
      <c r="AY43" s="52"/>
      <c r="AZ43" s="170"/>
      <c r="BA43" s="182"/>
      <c r="BB43" s="169"/>
    </row>
    <row r="44" spans="1:54" ht="12.75">
      <c r="A44" s="49"/>
      <c r="B44" s="49" t="s">
        <v>116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</row>
    <row r="45" spans="1:54" ht="12.75">
      <c r="A45" s="48" t="s">
        <v>127</v>
      </c>
      <c r="B45" s="50" t="s">
        <v>128</v>
      </c>
      <c r="C45" s="90">
        <v>1110171156</v>
      </c>
      <c r="D45" s="214">
        <v>14900.4568</v>
      </c>
      <c r="E45" s="214">
        <v>15848.114</v>
      </c>
      <c r="F45" s="75">
        <v>40</v>
      </c>
      <c r="G45" s="215">
        <f>E45-D45</f>
        <v>947.6571999999996</v>
      </c>
      <c r="H45" s="73"/>
      <c r="I45" s="75">
        <f>ROUND(G45*F45,0)</f>
        <v>37906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</row>
    <row r="46" spans="1:54" ht="12.75">
      <c r="A46" s="49"/>
      <c r="B46" s="46" t="s">
        <v>116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186</v>
      </c>
      <c r="AW46" s="51"/>
      <c r="AX46" s="51"/>
      <c r="AY46" s="52"/>
      <c r="AZ46" s="170"/>
      <c r="BA46" s="187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138</v>
      </c>
      <c r="H47" s="56"/>
      <c r="I47" s="125">
        <f>ROUND((SUM(I25:I46)+I20),0)</f>
        <v>8739965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</row>
    <row r="48" spans="1:54" ht="12.75">
      <c r="A48" s="48" t="s">
        <v>141</v>
      </c>
      <c r="B48" s="50" t="s">
        <v>139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</row>
    <row r="49" spans="1:54" ht="12.75">
      <c r="A49" s="74"/>
      <c r="B49" s="63" t="s">
        <v>140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186</v>
      </c>
      <c r="AW49" s="51"/>
      <c r="AX49" s="51"/>
      <c r="AY49" s="52"/>
      <c r="AZ49" s="170"/>
      <c r="BA49" s="182"/>
      <c r="BB49" s="169"/>
    </row>
    <row r="50" spans="1:54" ht="12.75">
      <c r="A50" s="50" t="s">
        <v>142</v>
      </c>
      <c r="B50" s="48" t="s">
        <v>230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266</v>
      </c>
      <c r="AW50" s="55"/>
      <c r="AX50" s="55"/>
      <c r="AY50" s="56"/>
      <c r="AZ50" s="170"/>
      <c r="BA50" s="182"/>
      <c r="BB50" s="169"/>
    </row>
    <row r="51" spans="1:54" ht="12.75">
      <c r="A51" s="63"/>
      <c r="B51" s="74"/>
      <c r="C51" s="194">
        <v>611127627</v>
      </c>
      <c r="D51" s="191">
        <v>6348.1124</v>
      </c>
      <c r="E51" s="191">
        <v>6392.6036</v>
      </c>
      <c r="F51" s="60">
        <v>40</v>
      </c>
      <c r="G51" s="142">
        <f>E51-D51</f>
        <v>44.49120000000039</v>
      </c>
      <c r="H51" s="60"/>
      <c r="I51" s="60">
        <f>ROUND(F51*G51+H51,0)</f>
        <v>1780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226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145</v>
      </c>
      <c r="B53" s="65"/>
      <c r="C53" s="106">
        <v>810120245</v>
      </c>
      <c r="D53" s="191">
        <v>3778.8321</v>
      </c>
      <c r="E53" s="191">
        <v>3787.8249</v>
      </c>
      <c r="F53" s="60">
        <v>3600</v>
      </c>
      <c r="G53" s="142">
        <f>E53-D53</f>
        <v>8.992799999999988</v>
      </c>
      <c r="H53" s="60"/>
      <c r="I53" s="60">
        <f>ROUND(F53*G53+H53,0)</f>
        <v>32374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289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240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4431.1404</v>
      </c>
      <c r="E55" s="121">
        <v>4477.0814</v>
      </c>
      <c r="F55" s="60">
        <v>3600</v>
      </c>
      <c r="G55" s="143">
        <f>E55-D55</f>
        <v>45.9409999999998</v>
      </c>
      <c r="H55" s="44"/>
      <c r="I55" s="60">
        <f>ROUND(F55*G55+H55,0)</f>
        <v>165388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146</v>
      </c>
      <c r="B57" s="48" t="s">
        <v>112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6"/>
      <c r="B58" s="74" t="s">
        <v>111</v>
      </c>
      <c r="C58" s="194">
        <v>611127492</v>
      </c>
      <c r="D58" s="191">
        <v>21580.008</v>
      </c>
      <c r="E58" s="191">
        <v>22001.1852</v>
      </c>
      <c r="F58" s="60">
        <v>20</v>
      </c>
      <c r="G58" s="142">
        <f>E58-D58</f>
        <v>421.17719999999827</v>
      </c>
      <c r="H58" s="60"/>
      <c r="I58" s="60">
        <f>ROUND(F58*G58+H58,0)</f>
        <v>8424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46</v>
      </c>
      <c r="AW58" s="47"/>
      <c r="AX58" s="47"/>
      <c r="AY58" s="47"/>
      <c r="AZ58" s="47"/>
      <c r="BA58" s="47"/>
      <c r="BB58" s="162">
        <f>BA9</f>
        <v>3.1767100732012237</v>
      </c>
    </row>
    <row r="59" spans="1:54" ht="12.75">
      <c r="A59" s="50" t="s">
        <v>147</v>
      </c>
      <c r="B59" s="48" t="s">
        <v>231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7"/>
      <c r="B60" s="70" t="s">
        <v>276</v>
      </c>
      <c r="C60" s="194">
        <v>611127702</v>
      </c>
      <c r="D60" s="191">
        <v>32644.9676</v>
      </c>
      <c r="E60" s="191">
        <v>32773.7248</v>
      </c>
      <c r="F60" s="60">
        <v>60</v>
      </c>
      <c r="G60" s="142">
        <f>E60-D60</f>
        <v>128.75720000000365</v>
      </c>
      <c r="H60" s="44"/>
      <c r="I60" s="60">
        <f>ROUND(F60*G60+H60,0)</f>
        <v>7725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277</v>
      </c>
      <c r="C61" s="194">
        <v>611127555</v>
      </c>
      <c r="D61" s="191">
        <v>12127.8056</v>
      </c>
      <c r="E61" s="191">
        <v>12791.754</v>
      </c>
      <c r="F61" s="60">
        <v>60</v>
      </c>
      <c r="G61" s="142">
        <f>E61-D61</f>
        <v>663.9484000000011</v>
      </c>
      <c r="H61" s="44"/>
      <c r="I61" s="60">
        <f>ROUND(F61*G61+H61,0)</f>
        <v>39837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148</v>
      </c>
      <c r="B62" s="48" t="s">
        <v>232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 customHeight="1">
      <c r="A63" s="197"/>
      <c r="B63" s="74"/>
      <c r="C63" s="194">
        <v>1110171163</v>
      </c>
      <c r="D63" s="191">
        <v>1306.4132</v>
      </c>
      <c r="E63" s="191">
        <v>1311.4876</v>
      </c>
      <c r="F63" s="60">
        <v>60</v>
      </c>
      <c r="G63" s="142">
        <f>E63-D63</f>
        <v>5.074399999999969</v>
      </c>
      <c r="H63" s="44"/>
      <c r="I63" s="60">
        <f>ROUND(F63*G63+H63,0)</f>
        <v>304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149</v>
      </c>
      <c r="B65" s="48" t="s">
        <v>233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4">
        <v>1110171170</v>
      </c>
      <c r="D66" s="191">
        <v>197.9768</v>
      </c>
      <c r="E66" s="191">
        <v>204.032</v>
      </c>
      <c r="F66" s="60">
        <v>40</v>
      </c>
      <c r="G66" s="142">
        <f>E66-D66</f>
        <v>6.0552000000000135</v>
      </c>
      <c r="H66" s="60"/>
      <c r="I66" s="60">
        <f>ROUND(F66*G66+H66,0)</f>
        <v>242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150</v>
      </c>
      <c r="B68" s="48" t="s">
        <v>278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279</v>
      </c>
      <c r="C69" s="194">
        <v>611126404</v>
      </c>
      <c r="D69" s="191">
        <v>606.0406</v>
      </c>
      <c r="E69" s="191">
        <v>613.8931</v>
      </c>
      <c r="F69" s="60">
        <v>1800</v>
      </c>
      <c r="G69" s="142">
        <f>E69-D69</f>
        <v>7.852499999999964</v>
      </c>
      <c r="H69" s="60"/>
      <c r="I69" s="60">
        <f>ROUND((F69*G69+H69),0)</f>
        <v>14134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242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228</v>
      </c>
      <c r="B71" s="74" t="s">
        <v>234</v>
      </c>
      <c r="C71" s="194">
        <v>611127724</v>
      </c>
      <c r="D71" s="191">
        <v>1990.9516</v>
      </c>
      <c r="E71" s="191">
        <v>2024.2372</v>
      </c>
      <c r="F71" s="60">
        <v>30</v>
      </c>
      <c r="G71" s="142">
        <f>E71-D71</f>
        <v>33.28559999999993</v>
      </c>
      <c r="H71" s="60"/>
      <c r="I71" s="60">
        <f>ROUND(F71*G71+H71,0)</f>
        <v>999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272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151</v>
      </c>
      <c r="G74" s="55"/>
      <c r="H74" s="56"/>
      <c r="I74" s="125">
        <f>ROUND((SUM(I50:I69)-I73),0)</f>
        <v>270208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152</v>
      </c>
      <c r="H75" s="56"/>
      <c r="I75" s="125">
        <f>ROUND((I18+I20-I47-I74),0)</f>
        <v>5699670</v>
      </c>
      <c r="J75" s="64"/>
      <c r="K75" s="64">
        <f>I18+I20+I22-I47-I74</f>
        <v>5785158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159</v>
      </c>
      <c r="B76" s="45" t="s">
        <v>153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157</v>
      </c>
      <c r="B77" s="48" t="s">
        <v>154</v>
      </c>
      <c r="C77" s="73">
        <v>18705639</v>
      </c>
      <c r="D77" s="124">
        <v>19294</v>
      </c>
      <c r="E77" s="124">
        <v>19477</v>
      </c>
      <c r="F77" s="75">
        <v>30</v>
      </c>
      <c r="G77" s="211">
        <f>E77-D77</f>
        <v>183</v>
      </c>
      <c r="H77" s="48">
        <v>1302</v>
      </c>
      <c r="I77" s="75">
        <f>F77*G77+H77</f>
        <v>6792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155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158</v>
      </c>
      <c r="B79" s="48" t="s">
        <v>156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155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160</v>
      </c>
      <c r="G81" s="111"/>
      <c r="H81" s="56"/>
      <c r="I81" s="60">
        <f>I77+I79</f>
        <v>6792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161</v>
      </c>
      <c r="H82" s="56"/>
      <c r="I82" s="125">
        <f>I75+I81</f>
        <v>5706462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162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285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165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2" t="s">
        <v>166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2" t="s">
        <v>263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2" t="s">
        <v>286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87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262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88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267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229</v>
      </c>
      <c r="AZ91" s="89" t="s">
        <v>290</v>
      </c>
      <c r="BA91" s="47"/>
      <c r="BB91" s="47"/>
    </row>
    <row r="92" spans="1:54" ht="12.75">
      <c r="A92" s="47"/>
      <c r="B92" s="47"/>
      <c r="C92" s="47" t="s">
        <v>89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24</v>
      </c>
      <c r="AU92" s="55"/>
      <c r="AV92" s="55"/>
      <c r="AW92" s="55"/>
      <c r="AX92" s="55"/>
      <c r="AY92" s="56"/>
      <c r="AZ92" s="44" t="s">
        <v>72</v>
      </c>
      <c r="BA92" s="44"/>
      <c r="BB92" s="44" t="s">
        <v>25</v>
      </c>
    </row>
    <row r="93" spans="1:54" ht="12.75">
      <c r="A93" s="47"/>
      <c r="B93" s="47"/>
      <c r="C93" s="47"/>
      <c r="D93" s="167" t="s">
        <v>284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179</v>
      </c>
      <c r="AU93" s="55"/>
      <c r="AV93" s="55"/>
      <c r="AW93" s="55"/>
      <c r="AX93" s="55"/>
      <c r="AY93" s="56"/>
      <c r="AZ93" s="125">
        <v>68915</v>
      </c>
      <c r="BA93" s="92"/>
      <c r="BB93" s="188">
        <f>AZ93*BB58</f>
        <v>218922.97469466232</v>
      </c>
    </row>
    <row r="94" spans="1:54" ht="12.75">
      <c r="A94" s="47" t="s">
        <v>260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178</v>
      </c>
      <c r="AU94" s="55"/>
      <c r="AV94" s="55"/>
      <c r="AW94" s="55"/>
      <c r="AX94" s="55"/>
      <c r="AY94" s="56"/>
      <c r="AZ94" s="125">
        <f>AZ131-SUM(AZ112:AZ120)-AZ109-AZ103-AZ96-AZ95-AZ93</f>
        <v>4139366</v>
      </c>
      <c r="BA94" s="92"/>
      <c r="BB94" s="188">
        <f>AZ94*BB58</f>
        <v>13149565.668866657</v>
      </c>
    </row>
    <row r="95" spans="1:54" ht="12.75">
      <c r="A95" s="47" t="s">
        <v>90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269</v>
      </c>
      <c r="AU95" s="55"/>
      <c r="AV95" s="55"/>
      <c r="AW95" s="55"/>
      <c r="AX95" s="55"/>
      <c r="AY95" s="56"/>
      <c r="AZ95" s="125">
        <v>69896</v>
      </c>
      <c r="BA95" s="92"/>
      <c r="BB95" s="188">
        <f>AZ95*BB58</f>
        <v>222039.32727647273</v>
      </c>
    </row>
    <row r="96" spans="1:54" ht="12.75">
      <c r="A96" s="47" t="s">
        <v>92</v>
      </c>
      <c r="B96" s="47"/>
      <c r="C96" s="47"/>
      <c r="D96" s="47"/>
      <c r="E96" s="47"/>
      <c r="F96" s="47" t="s">
        <v>91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15</v>
      </c>
      <c r="AU96" s="51"/>
      <c r="AV96" s="51"/>
      <c r="AW96" s="51"/>
      <c r="AX96" s="51"/>
      <c r="AY96" s="52"/>
      <c r="AZ96" s="189">
        <f>SUM(AZ97:AZ102)</f>
        <v>1051628</v>
      </c>
      <c r="BA96" s="95"/>
      <c r="BB96" s="188">
        <f>AZ96*BB58</f>
        <v>3340717.2608604566</v>
      </c>
    </row>
    <row r="97" spans="1:54" ht="12.75">
      <c r="A97" s="48" t="s">
        <v>187</v>
      </c>
      <c r="B97" s="73" t="s">
        <v>93</v>
      </c>
      <c r="C97" s="48" t="s">
        <v>94</v>
      </c>
      <c r="D97" s="116" t="s">
        <v>169</v>
      </c>
      <c r="E97" s="117"/>
      <c r="F97" s="48" t="s">
        <v>95</v>
      </c>
      <c r="G97" s="48" t="s">
        <v>208</v>
      </c>
      <c r="H97" s="48" t="s">
        <v>96</v>
      </c>
      <c r="I97" s="48" t="s">
        <v>86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16</v>
      </c>
      <c r="AU97" s="64"/>
      <c r="AV97" s="64"/>
      <c r="AW97" s="64"/>
      <c r="AX97" s="64"/>
      <c r="AY97" s="65"/>
      <c r="AZ97" s="67">
        <v>352079</v>
      </c>
      <c r="BA97" s="78"/>
      <c r="BB97" s="188">
        <f>AZ97*BB58</f>
        <v>1118452.9058626136</v>
      </c>
    </row>
    <row r="98" spans="1:54" ht="12.75">
      <c r="A98" s="74"/>
      <c r="B98" s="74"/>
      <c r="C98" s="74"/>
      <c r="D98" s="48" t="s">
        <v>97</v>
      </c>
      <c r="E98" s="50" t="s">
        <v>98</v>
      </c>
      <c r="F98" s="74" t="s">
        <v>99</v>
      </c>
      <c r="G98" s="74" t="s">
        <v>85</v>
      </c>
      <c r="H98" s="74"/>
      <c r="I98" s="74" t="s">
        <v>100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17</v>
      </c>
      <c r="AU98" s="64"/>
      <c r="AV98" s="64"/>
      <c r="AW98" s="64"/>
      <c r="AX98" s="64"/>
      <c r="AY98" s="65"/>
      <c r="AZ98" s="67">
        <v>566086</v>
      </c>
      <c r="BA98" s="78"/>
      <c r="BB98" s="188">
        <f>AZ98*BB58</f>
        <v>1798291.098498188</v>
      </c>
    </row>
    <row r="99" spans="1:54" ht="12.75">
      <c r="A99" s="49"/>
      <c r="B99" s="49"/>
      <c r="C99" s="49"/>
      <c r="D99" s="49" t="s">
        <v>101</v>
      </c>
      <c r="E99" s="46" t="s">
        <v>101</v>
      </c>
      <c r="F99" s="49" t="s">
        <v>102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18</v>
      </c>
      <c r="AU99" s="64"/>
      <c r="AV99" s="64"/>
      <c r="AW99" s="64"/>
      <c r="AX99" s="64"/>
      <c r="AY99" s="65"/>
      <c r="AZ99" s="67">
        <v>129189</v>
      </c>
      <c r="BA99" s="78"/>
      <c r="BB99" s="188">
        <f>AZ99*BB58</f>
        <v>410395.9976467929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19</v>
      </c>
      <c r="AU100" s="64"/>
      <c r="AV100" s="64"/>
      <c r="AW100" s="64"/>
      <c r="AX100" s="64"/>
      <c r="AY100" s="65"/>
      <c r="AZ100" s="67">
        <v>350</v>
      </c>
      <c r="BA100" s="78"/>
      <c r="BB100" s="188">
        <f>AZ100*BB58</f>
        <v>1111.8485256204283</v>
      </c>
    </row>
    <row r="101" spans="1:54" ht="12.75">
      <c r="A101" s="46"/>
      <c r="B101" s="53"/>
      <c r="C101" s="209" t="s">
        <v>170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20</v>
      </c>
      <c r="AU101" s="64"/>
      <c r="AV101" s="64"/>
      <c r="AW101" s="64"/>
      <c r="AX101" s="64"/>
      <c r="AY101" s="65"/>
      <c r="AZ101" s="67">
        <v>2924</v>
      </c>
      <c r="BA101" s="78"/>
      <c r="BB101" s="188">
        <f>AZ101*BB58</f>
        <v>9288.700254040377</v>
      </c>
    </row>
    <row r="102" spans="1:54" ht="12.75">
      <c r="A102" s="44"/>
      <c r="B102" s="45" t="s">
        <v>259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3176.7100732012236</v>
      </c>
    </row>
    <row r="103" spans="1:54" ht="12.75">
      <c r="A103" s="73">
        <v>1</v>
      </c>
      <c r="B103" s="48" t="s">
        <v>143</v>
      </c>
      <c r="C103" s="90">
        <v>804152757</v>
      </c>
      <c r="D103" s="121">
        <v>2511.8236</v>
      </c>
      <c r="E103" s="121">
        <v>2560.7495</v>
      </c>
      <c r="F103" s="60">
        <v>36000</v>
      </c>
      <c r="G103" s="142">
        <f>E103-D103</f>
        <v>48.92589999999973</v>
      </c>
      <c r="H103" s="44"/>
      <c r="I103" s="60">
        <f>F103*G103+H103</f>
        <v>1761332.3999999901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180</v>
      </c>
      <c r="AU103" s="51"/>
      <c r="AV103" s="51"/>
      <c r="AW103" s="51"/>
      <c r="AX103" s="51"/>
      <c r="AY103" s="52"/>
      <c r="AZ103" s="189">
        <f>SUM(AZ104:AZ108)</f>
        <v>14240</v>
      </c>
      <c r="BA103" s="95"/>
      <c r="BB103" s="188">
        <f>AZ103*BB58</f>
        <v>45236.35144238543</v>
      </c>
    </row>
    <row r="104" spans="1:54" ht="12.75">
      <c r="A104" s="49"/>
      <c r="B104" s="46" t="s">
        <v>144</v>
      </c>
      <c r="C104" s="106">
        <v>109054169</v>
      </c>
      <c r="D104" s="121">
        <v>3090.4663</v>
      </c>
      <c r="E104" s="121">
        <v>3143.3106</v>
      </c>
      <c r="F104" s="60">
        <v>36000</v>
      </c>
      <c r="G104" s="142">
        <f>E104-D104</f>
        <v>52.84429999999975</v>
      </c>
      <c r="H104" s="44"/>
      <c r="I104" s="60">
        <f>F104*G104+H104</f>
        <v>1902394.799999991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203</v>
      </c>
      <c r="AV104" s="64"/>
      <c r="AW104" s="64"/>
      <c r="AX104" s="64"/>
      <c r="AY104" s="65"/>
      <c r="AZ104" s="67">
        <v>2240</v>
      </c>
      <c r="BA104" s="78"/>
      <c r="BB104" s="188">
        <f>AZ104*BB58</f>
        <v>7115.830563970741</v>
      </c>
    </row>
    <row r="105" spans="1:54" ht="12.75">
      <c r="A105" s="45"/>
      <c r="B105" s="55"/>
      <c r="C105" s="53"/>
      <c r="D105" s="55"/>
      <c r="E105" s="55"/>
      <c r="F105" s="107" t="s">
        <v>106</v>
      </c>
      <c r="G105" s="55"/>
      <c r="H105" s="56"/>
      <c r="I105" s="60">
        <f>I103+I104</f>
        <v>3663727.199999981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201</v>
      </c>
      <c r="AU105" s="64"/>
      <c r="AV105" s="64" t="s">
        <v>181</v>
      </c>
      <c r="AW105" s="64"/>
      <c r="AX105" s="64"/>
      <c r="AY105" s="65"/>
      <c r="AZ105" s="67">
        <v>4720</v>
      </c>
      <c r="BA105" s="78"/>
      <c r="BB105" s="188">
        <f>AZ105*BB58</f>
        <v>14994.071545509776</v>
      </c>
    </row>
    <row r="106" spans="1:54" ht="12.75">
      <c r="A106" s="44" t="s">
        <v>107</v>
      </c>
      <c r="B106" s="45" t="s">
        <v>108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201</v>
      </c>
      <c r="AU106" s="64"/>
      <c r="AV106" s="64" t="s">
        <v>204</v>
      </c>
      <c r="AW106" s="64"/>
      <c r="AX106" s="64"/>
      <c r="AY106" s="65"/>
      <c r="AZ106" s="67">
        <v>0</v>
      </c>
      <c r="BA106" s="78"/>
      <c r="BB106" s="188">
        <f>AZ106*BB58</f>
        <v>0</v>
      </c>
    </row>
    <row r="107" spans="1:54" ht="12.75">
      <c r="A107" s="44" t="s">
        <v>109</v>
      </c>
      <c r="B107" s="44" t="s">
        <v>110</v>
      </c>
      <c r="C107" s="106">
        <v>109053225</v>
      </c>
      <c r="D107" s="121">
        <v>7743.7182</v>
      </c>
      <c r="E107" s="121">
        <v>7815.5673</v>
      </c>
      <c r="F107" s="60">
        <v>21000</v>
      </c>
      <c r="G107" s="142">
        <f>E107-D107</f>
        <v>71.84909999999945</v>
      </c>
      <c r="H107" s="44"/>
      <c r="I107" s="60">
        <f>F107*G107+H107</f>
        <v>1508831.0999999885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205</v>
      </c>
      <c r="AW107" s="64"/>
      <c r="AX107" s="64"/>
      <c r="AY107" s="64"/>
      <c r="AZ107" s="67">
        <v>140</v>
      </c>
      <c r="BA107" s="70"/>
      <c r="BB107" s="188">
        <f>AZ107*BB58</f>
        <v>444.73941024817134</v>
      </c>
    </row>
    <row r="108" spans="1:54" ht="12.75">
      <c r="A108" s="44" t="s">
        <v>254</v>
      </c>
      <c r="B108" s="55" t="s">
        <v>257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57</v>
      </c>
      <c r="AU108" s="53"/>
      <c r="AV108" s="101"/>
      <c r="AW108" s="101"/>
      <c r="AX108" s="53"/>
      <c r="AY108" s="54"/>
      <c r="AZ108" s="68">
        <v>7140</v>
      </c>
      <c r="BA108" s="86"/>
      <c r="BB108" s="188">
        <f>AZ108*BB58</f>
        <v>22681.709922656737</v>
      </c>
    </row>
    <row r="109" spans="1:54" ht="12.75">
      <c r="A109" s="44" t="s">
        <v>255</v>
      </c>
      <c r="B109" s="45" t="s">
        <v>258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268</v>
      </c>
      <c r="AU109" s="51"/>
      <c r="AV109" s="51"/>
      <c r="AW109" s="51"/>
      <c r="AX109" s="51"/>
      <c r="AY109" s="52"/>
      <c r="AZ109" s="189">
        <f>AZ110+AZ111</f>
        <v>201403</v>
      </c>
      <c r="BA109" s="95"/>
      <c r="BB109" s="188">
        <f>AZ109*BB58</f>
        <v>639798.9388729461</v>
      </c>
    </row>
    <row r="110" spans="1:54" ht="12.75">
      <c r="A110" s="45" t="s">
        <v>256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21</v>
      </c>
      <c r="AU110" s="64"/>
      <c r="AV110" s="64"/>
      <c r="AW110" s="64"/>
      <c r="AX110" s="64"/>
      <c r="AY110" s="65"/>
      <c r="AZ110" s="67">
        <v>16964</v>
      </c>
      <c r="BA110" s="78"/>
      <c r="BB110" s="188">
        <f>AZ110*BB58</f>
        <v>53889.709681785556</v>
      </c>
    </row>
    <row r="111" spans="1:54" ht="12.75">
      <c r="A111" s="44" t="s">
        <v>113</v>
      </c>
      <c r="B111" s="45" t="s">
        <v>114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22</v>
      </c>
      <c r="AU111" s="53"/>
      <c r="AV111" s="53"/>
      <c r="AW111" s="53"/>
      <c r="AX111" s="53"/>
      <c r="AY111" s="54"/>
      <c r="AZ111" s="68">
        <v>184439</v>
      </c>
      <c r="BA111" s="86"/>
      <c r="BB111" s="188">
        <f>AZ111*BB58</f>
        <v>585909.2291911605</v>
      </c>
    </row>
    <row r="112" spans="1:54" ht="12.75">
      <c r="A112" s="48" t="s">
        <v>115</v>
      </c>
      <c r="B112" s="48" t="s">
        <v>118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206</v>
      </c>
      <c r="AU112" s="55"/>
      <c r="AV112" s="55"/>
      <c r="AW112" s="55"/>
      <c r="AX112" s="55"/>
      <c r="AY112" s="56"/>
      <c r="AZ112" s="125">
        <v>16520</v>
      </c>
      <c r="BA112" s="92"/>
      <c r="BB112" s="188">
        <f>AZ112*BB58</f>
        <v>52479.250409284214</v>
      </c>
    </row>
    <row r="113" spans="1:54" ht="12.75">
      <c r="A113" s="49"/>
      <c r="B113" s="49" t="s">
        <v>116</v>
      </c>
      <c r="C113" s="91">
        <v>109056121</v>
      </c>
      <c r="D113" s="212">
        <v>6612.8944</v>
      </c>
      <c r="E113" s="212">
        <v>6646.483</v>
      </c>
      <c r="F113" s="68">
        <v>4800</v>
      </c>
      <c r="G113" s="213">
        <f aca="true" t="shared" si="2" ref="G113:G132">E113-D113</f>
        <v>33.58860000000004</v>
      </c>
      <c r="H113" s="68"/>
      <c r="I113" s="68">
        <f>F113*G113+H113</f>
        <v>161225.2800000002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56</v>
      </c>
      <c r="AU113" s="55"/>
      <c r="AV113" s="55"/>
      <c r="AW113" s="55"/>
      <c r="AX113" s="55"/>
      <c r="AY113" s="56"/>
      <c r="AZ113" s="125">
        <v>21408</v>
      </c>
      <c r="BA113" s="92"/>
      <c r="BB113" s="188">
        <f>AZ113*BB58</f>
        <v>68007.0092470918</v>
      </c>
    </row>
    <row r="114" spans="1:54" ht="12.75">
      <c r="A114" s="48" t="s">
        <v>117</v>
      </c>
      <c r="B114" s="48" t="s">
        <v>129</v>
      </c>
      <c r="C114" s="90">
        <v>623125232</v>
      </c>
      <c r="D114" s="214">
        <v>3004.4408</v>
      </c>
      <c r="E114" s="214">
        <v>3004.4408</v>
      </c>
      <c r="F114" s="75">
        <v>1800</v>
      </c>
      <c r="G114" s="215">
        <f t="shared" si="2"/>
        <v>0</v>
      </c>
      <c r="H114" s="73"/>
      <c r="I114" s="75">
        <f>G114*F114</f>
        <v>0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197</v>
      </c>
      <c r="AU114" s="55"/>
      <c r="AV114" s="55"/>
      <c r="AW114" s="55"/>
      <c r="AX114" s="55"/>
      <c r="AY114" s="56"/>
      <c r="AZ114" s="125">
        <v>12724</v>
      </c>
      <c r="BA114" s="92"/>
      <c r="BB114" s="188">
        <f>AZ114*BB58</f>
        <v>40420.45897141237</v>
      </c>
    </row>
    <row r="115" spans="1:54" ht="12.75">
      <c r="A115" s="49"/>
      <c r="B115" s="49" t="s">
        <v>116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177</v>
      </c>
      <c r="AU115" s="55"/>
      <c r="AV115" s="55"/>
      <c r="AW115" s="55"/>
      <c r="AX115" s="55"/>
      <c r="AY115" s="56"/>
      <c r="AZ115" s="125">
        <v>3172</v>
      </c>
      <c r="BA115" s="92"/>
      <c r="BB115" s="188">
        <f>AZ115*BB58</f>
        <v>10076.524352194281</v>
      </c>
    </row>
    <row r="116" spans="1:54" ht="12.75">
      <c r="A116" s="48" t="s">
        <v>119</v>
      </c>
      <c r="B116" s="48" t="s">
        <v>130</v>
      </c>
      <c r="C116" s="90">
        <v>623125667</v>
      </c>
      <c r="D116" s="214">
        <v>3941.0549</v>
      </c>
      <c r="E116" s="214">
        <v>4026.3237</v>
      </c>
      <c r="F116" s="75">
        <v>1800</v>
      </c>
      <c r="G116" s="215">
        <f t="shared" si="2"/>
        <v>85.26879999999983</v>
      </c>
      <c r="H116" s="73"/>
      <c r="I116" s="75">
        <f>G116*F116</f>
        <v>153483.83999999968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40000</v>
      </c>
      <c r="BA116" s="92"/>
      <c r="BB116" s="188">
        <f>AZ116*BB58</f>
        <v>127068.40292804895</v>
      </c>
    </row>
    <row r="117" spans="1:54" ht="12.75">
      <c r="A117" s="49"/>
      <c r="B117" s="49" t="s">
        <v>116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12500</v>
      </c>
      <c r="BA117" s="92"/>
      <c r="BB117" s="188">
        <f>AZ117*BB58</f>
        <v>39708.8759150153</v>
      </c>
    </row>
    <row r="118" spans="1:54" ht="12.75">
      <c r="A118" s="48" t="s">
        <v>120</v>
      </c>
      <c r="B118" s="48" t="s">
        <v>131</v>
      </c>
      <c r="C118" s="90">
        <v>623126370</v>
      </c>
      <c r="D118" s="214">
        <v>781.4214</v>
      </c>
      <c r="E118" s="214">
        <v>796.8884</v>
      </c>
      <c r="F118" s="75">
        <v>4800</v>
      </c>
      <c r="G118" s="215">
        <f t="shared" si="2"/>
        <v>15.467000000000098</v>
      </c>
      <c r="H118" s="73"/>
      <c r="I118" s="75">
        <f>G118*F118</f>
        <v>74241.60000000047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202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158.8355036600612</v>
      </c>
    </row>
    <row r="119" spans="1:54" ht="12.75">
      <c r="A119" s="49"/>
      <c r="B119" s="49" t="s">
        <v>116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199</v>
      </c>
      <c r="AU119" s="107"/>
      <c r="AV119" s="55"/>
      <c r="AW119" s="55"/>
      <c r="AX119" s="55"/>
      <c r="AY119" s="56"/>
      <c r="AZ119" s="125">
        <v>54640</v>
      </c>
      <c r="BA119" s="92"/>
      <c r="BB119" s="188">
        <f>AZ119*BB58</f>
        <v>173575.43839971485</v>
      </c>
    </row>
    <row r="120" spans="1:54" ht="12.75">
      <c r="A120" s="48" t="s">
        <v>121</v>
      </c>
      <c r="B120" s="48" t="s">
        <v>132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</row>
    <row r="121" spans="1:54" ht="12.75">
      <c r="A121" s="49"/>
      <c r="B121" s="49" t="s">
        <v>116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</row>
    <row r="122" spans="1:54" ht="12.75">
      <c r="A122" s="48" t="s">
        <v>122</v>
      </c>
      <c r="B122" s="48" t="s">
        <v>133</v>
      </c>
      <c r="C122" s="90">
        <v>623125142</v>
      </c>
      <c r="D122" s="214">
        <v>2618.9311</v>
      </c>
      <c r="E122" s="214">
        <v>2657.5554</v>
      </c>
      <c r="F122" s="75">
        <v>2400</v>
      </c>
      <c r="G122" s="215">
        <f t="shared" si="2"/>
        <v>38.6243000000004</v>
      </c>
      <c r="H122" s="73"/>
      <c r="I122" s="75">
        <f>G122*F122</f>
        <v>92698.32000000097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</row>
    <row r="123" spans="1:54" ht="12.75">
      <c r="A123" s="49"/>
      <c r="B123" s="49" t="s">
        <v>116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</row>
    <row r="124" spans="1:54" ht="12.75">
      <c r="A124" s="48" t="s">
        <v>123</v>
      </c>
      <c r="B124" s="48" t="s">
        <v>134</v>
      </c>
      <c r="C124" s="90">
        <v>623125205</v>
      </c>
      <c r="D124" s="214">
        <v>2112.8001</v>
      </c>
      <c r="E124" s="214">
        <v>2156.6227</v>
      </c>
      <c r="F124" s="75">
        <v>1800</v>
      </c>
      <c r="G124" s="215">
        <f t="shared" si="2"/>
        <v>43.822599999999966</v>
      </c>
      <c r="H124" s="73"/>
      <c r="I124" s="75">
        <f>G124*F124</f>
        <v>78880.67999999993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</row>
    <row r="125" spans="1:54" ht="12.75">
      <c r="A125" s="49"/>
      <c r="B125" s="49" t="s">
        <v>116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</row>
    <row r="126" spans="1:54" ht="12.75">
      <c r="A126" s="48" t="s">
        <v>124</v>
      </c>
      <c r="B126" s="48" t="s">
        <v>135</v>
      </c>
      <c r="C126" s="90">
        <v>623123704</v>
      </c>
      <c r="D126" s="214">
        <v>2571.7313</v>
      </c>
      <c r="E126" s="214">
        <v>2636.3724</v>
      </c>
      <c r="F126" s="75">
        <v>1800</v>
      </c>
      <c r="G126" s="215">
        <f t="shared" si="2"/>
        <v>64.64110000000028</v>
      </c>
      <c r="H126" s="73"/>
      <c r="I126" s="75">
        <f>G126*F126</f>
        <v>116353.9800000005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</row>
    <row r="127" spans="1:54" ht="12.75">
      <c r="A127" s="49"/>
      <c r="B127" s="49" t="s">
        <v>116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125</v>
      </c>
      <c r="B128" s="48" t="s">
        <v>136</v>
      </c>
      <c r="C128" s="90">
        <v>623125794</v>
      </c>
      <c r="D128" s="214">
        <v>146.9266</v>
      </c>
      <c r="E128" s="214">
        <v>160.2816</v>
      </c>
      <c r="F128" s="75">
        <v>1800</v>
      </c>
      <c r="G128" s="215">
        <f>E128-D128</f>
        <v>13.35499999999999</v>
      </c>
      <c r="H128" s="73"/>
      <c r="I128" s="75">
        <f>G128*F128</f>
        <v>24038.99999999998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116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126</v>
      </c>
      <c r="B130" s="48" t="s">
        <v>137</v>
      </c>
      <c r="C130" s="90">
        <v>623125736</v>
      </c>
      <c r="D130" s="214">
        <v>3111.4499</v>
      </c>
      <c r="E130" s="214">
        <v>3151.9903</v>
      </c>
      <c r="F130" s="75">
        <v>1200</v>
      </c>
      <c r="G130" s="215">
        <f t="shared" si="2"/>
        <v>40.54039999999986</v>
      </c>
      <c r="H130" s="73"/>
      <c r="I130" s="75">
        <f>G130*F130</f>
        <v>48648.479999999836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116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5706462</v>
      </c>
      <c r="BA131" s="47"/>
      <c r="BB131" s="165">
        <f>SUM(BB93:BB96)+BB103+BB109+SUM(BB112:BB126)</f>
        <v>18127775.31774</v>
      </c>
    </row>
    <row r="132" spans="1:54" ht="12.75">
      <c r="A132" s="48" t="s">
        <v>127</v>
      </c>
      <c r="B132" s="50" t="s">
        <v>128</v>
      </c>
      <c r="C132" s="90">
        <v>1110171156</v>
      </c>
      <c r="D132" s="214">
        <v>1632.7856</v>
      </c>
      <c r="E132" s="214">
        <v>1683.4952</v>
      </c>
      <c r="F132" s="75">
        <v>40</v>
      </c>
      <c r="G132" s="215">
        <f t="shared" si="2"/>
        <v>50.70960000000014</v>
      </c>
      <c r="H132" s="73"/>
      <c r="I132" s="75">
        <f>G132*F132</f>
        <v>2028.3840000000055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116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138</v>
      </c>
      <c r="H134" s="56"/>
      <c r="I134" s="125">
        <f>SUM(I112:I133)+I107</f>
        <v>2260430.66399999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291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141</v>
      </c>
      <c r="B135" s="50" t="s">
        <v>139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140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45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142</v>
      </c>
      <c r="B137" s="48" t="s">
        <v>235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4">
        <v>611127627</v>
      </c>
      <c r="D138" s="191">
        <v>2564.0564</v>
      </c>
      <c r="E138" s="191">
        <v>2564.9724</v>
      </c>
      <c r="F138" s="60">
        <v>40</v>
      </c>
      <c r="G138" s="142">
        <f>E138-D138</f>
        <v>0.9160000000001673</v>
      </c>
      <c r="H138" s="60"/>
      <c r="I138" s="60">
        <f>ROUND(F138*G138+H138,0)</f>
        <v>37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226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282</v>
      </c>
      <c r="AX139" s="47"/>
      <c r="AY139" s="47"/>
      <c r="AZ139" s="47"/>
      <c r="BA139" s="47"/>
      <c r="BB139" s="47"/>
    </row>
    <row r="140" spans="1:54" ht="12.75">
      <c r="A140" s="48" t="s">
        <v>145</v>
      </c>
      <c r="B140" s="65"/>
      <c r="C140" s="106">
        <v>810120245</v>
      </c>
      <c r="D140" s="191">
        <v>1341.9551</v>
      </c>
      <c r="E140" s="191">
        <v>1342.4411</v>
      </c>
      <c r="F140" s="60">
        <v>3600</v>
      </c>
      <c r="G140" s="142">
        <f aca="true" t="shared" si="3" ref="G140:G145">E140-D140</f>
        <v>0.4860000000001037</v>
      </c>
      <c r="H140" s="60"/>
      <c r="I140" s="60">
        <f aca="true" t="shared" si="4" ref="I140:I145">ROUND(F140*G140+H140,0)</f>
        <v>1750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283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241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4333.4111</v>
      </c>
      <c r="E142" s="121">
        <v>4356.7139</v>
      </c>
      <c r="F142" s="60">
        <v>3600</v>
      </c>
      <c r="G142" s="143">
        <f t="shared" si="3"/>
        <v>23.30279999999948</v>
      </c>
      <c r="H142" s="44"/>
      <c r="I142" s="60">
        <f t="shared" si="4"/>
        <v>83890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</row>
    <row r="144" spans="1:54" ht="12.75">
      <c r="A144" s="74" t="s">
        <v>146</v>
      </c>
      <c r="B144" s="48" t="s">
        <v>112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</row>
    <row r="145" spans="1:54" ht="12.75">
      <c r="A145" s="196"/>
      <c r="B145" s="74" t="s">
        <v>111</v>
      </c>
      <c r="C145" s="194">
        <v>611127492</v>
      </c>
      <c r="D145" s="191">
        <v>6152.0268</v>
      </c>
      <c r="E145" s="191">
        <v>6224.1588</v>
      </c>
      <c r="F145" s="60">
        <v>20</v>
      </c>
      <c r="G145" s="142">
        <f t="shared" si="3"/>
        <v>72.13200000000052</v>
      </c>
      <c r="H145" s="60"/>
      <c r="I145" s="60">
        <f t="shared" si="4"/>
        <v>1443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147</v>
      </c>
      <c r="B146" s="48" t="s">
        <v>236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</row>
    <row r="147" spans="1:54" ht="12.75">
      <c r="A147" s="197"/>
      <c r="B147" s="70" t="s">
        <v>276</v>
      </c>
      <c r="C147" s="194">
        <v>611127702</v>
      </c>
      <c r="D147" s="191">
        <v>7058.7004</v>
      </c>
      <c r="E147" s="191">
        <v>7075.3816</v>
      </c>
      <c r="F147" s="60">
        <v>60</v>
      </c>
      <c r="G147" s="142">
        <f>E147-D147</f>
        <v>16.68119999999999</v>
      </c>
      <c r="H147" s="44"/>
      <c r="I147" s="60">
        <f>ROUND(F147*G147+H147,0)</f>
        <v>1001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</row>
    <row r="148" spans="1:54" ht="12.75">
      <c r="A148" s="63"/>
      <c r="B148" s="70" t="s">
        <v>277</v>
      </c>
      <c r="C148" s="194">
        <v>611127555</v>
      </c>
      <c r="D148" s="191">
        <v>2221.8124</v>
      </c>
      <c r="E148" s="191">
        <v>2271.1908</v>
      </c>
      <c r="F148" s="60">
        <v>60</v>
      </c>
      <c r="G148" s="142">
        <f>E148-D148</f>
        <v>49.378400000000056</v>
      </c>
      <c r="H148" s="44"/>
      <c r="I148" s="60">
        <f>ROUND(F148*G148+H148,0)</f>
        <v>2963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</row>
    <row r="149" spans="1:54" ht="12.75">
      <c r="A149" s="50" t="s">
        <v>148</v>
      </c>
      <c r="B149" s="48" t="s">
        <v>237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</row>
    <row r="150" spans="1:54" ht="12.75">
      <c r="A150" s="197"/>
      <c r="B150" s="74"/>
      <c r="C150" s="194">
        <v>1110171163</v>
      </c>
      <c r="D150" s="121">
        <v>623.144</v>
      </c>
      <c r="E150" s="121">
        <v>624.2424</v>
      </c>
      <c r="F150" s="60">
        <v>60</v>
      </c>
      <c r="G150" s="142">
        <f>E150-D150</f>
        <v>1.0983999999999696</v>
      </c>
      <c r="H150" s="44"/>
      <c r="I150" s="60">
        <f>ROUND(F150*G150+H150,0)</f>
        <v>66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</row>
    <row r="151" spans="1:54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</row>
    <row r="152" spans="1:54" ht="12.75">
      <c r="A152" s="50" t="s">
        <v>149</v>
      </c>
      <c r="B152" s="48" t="s">
        <v>238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4">
        <v>1110171170</v>
      </c>
      <c r="D153" s="191">
        <v>210.8516</v>
      </c>
      <c r="E153" s="191">
        <v>218.4728</v>
      </c>
      <c r="F153" s="60">
        <v>40</v>
      </c>
      <c r="G153" s="142">
        <f>E153-D153</f>
        <v>7.621200000000016</v>
      </c>
      <c r="H153" s="60"/>
      <c r="I153" s="60">
        <f>ROUND(F153*G153+H153,0)</f>
        <v>305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</row>
    <row r="154" spans="1:54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</row>
    <row r="155" spans="1:54" ht="12.75">
      <c r="A155" s="48" t="s">
        <v>150</v>
      </c>
      <c r="B155" s="52" t="s">
        <v>271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</row>
    <row r="156" spans="1:54" ht="12.75">
      <c r="A156" s="74"/>
      <c r="B156" s="65" t="s">
        <v>227</v>
      </c>
      <c r="C156" s="194">
        <v>611126404</v>
      </c>
      <c r="D156" s="191">
        <v>916.3089</v>
      </c>
      <c r="E156" s="191">
        <v>924.5326</v>
      </c>
      <c r="F156" s="60">
        <v>1800</v>
      </c>
      <c r="G156" s="142">
        <f>E156-D156</f>
        <v>8.223700000000008</v>
      </c>
      <c r="H156" s="60"/>
      <c r="I156" s="60">
        <f>ROUND(F156*G156+H156,0)</f>
        <v>14803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</row>
    <row r="157" spans="1:54" ht="12.75">
      <c r="A157" s="49"/>
      <c r="B157" s="54" t="s">
        <v>242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228</v>
      </c>
      <c r="B158" s="48" t="s">
        <v>239</v>
      </c>
      <c r="C158" s="194">
        <v>611127724</v>
      </c>
      <c r="D158" s="191">
        <v>688.3756</v>
      </c>
      <c r="E158" s="191">
        <v>699.85</v>
      </c>
      <c r="F158" s="60">
        <v>30</v>
      </c>
      <c r="G158" s="142">
        <f>E158-D158</f>
        <v>11.47440000000006</v>
      </c>
      <c r="H158" s="60"/>
      <c r="I158" s="60">
        <f>ROUND(F158*G158+H158,0)</f>
        <v>344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</row>
    <row r="159" spans="1:54" ht="12.75">
      <c r="A159" s="46"/>
      <c r="B159" s="74" t="s">
        <v>270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</row>
    <row r="160" spans="1:54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151</v>
      </c>
      <c r="G161" s="55"/>
      <c r="H161" s="56"/>
      <c r="I161" s="125">
        <f>SUM(I137:I159)-I160</f>
        <v>106602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152</v>
      </c>
      <c r="H162" s="56"/>
      <c r="I162" s="125">
        <f>I103+I104+I107+I108+I109+I110-I134-I161</f>
        <v>2805525.635999979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159</v>
      </c>
      <c r="B163" s="45" t="s">
        <v>153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157</v>
      </c>
      <c r="B164" s="48" t="s">
        <v>154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155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158</v>
      </c>
      <c r="B166" s="48" t="s">
        <v>156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155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160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161</v>
      </c>
      <c r="H169" s="56"/>
      <c r="I169" s="125">
        <f>I162+I168</f>
        <v>2805525.635999979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162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285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165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2" t="s">
        <v>166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2" t="s">
        <v>263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2" t="s">
        <v>286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252</v>
      </c>
      <c r="BA177" s="47"/>
      <c r="BB177" s="47"/>
    </row>
    <row r="178" spans="1:54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246</v>
      </c>
      <c r="BA178" s="47" t="s">
        <v>25</v>
      </c>
      <c r="BB178" s="47"/>
    </row>
    <row r="179" spans="1:54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243</v>
      </c>
      <c r="AZ179" s="190">
        <f>AZ183+AZ184+AZ185</f>
        <v>2994683</v>
      </c>
      <c r="BA179" s="218">
        <f>AZ179*2.9</f>
        <v>8684580.7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244</v>
      </c>
      <c r="AZ180" s="190">
        <f>AZ187-AZ179-AZ181</f>
        <v>2547999</v>
      </c>
      <c r="BA180" s="218">
        <f>AZ180*2.9</f>
        <v>7389197.1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245</v>
      </c>
      <c r="AZ181" s="190">
        <f>AZ186</f>
        <v>163780</v>
      </c>
      <c r="BA181" s="218">
        <f>AZ181*2.9</f>
        <v>474962</v>
      </c>
      <c r="BB181" s="47"/>
    </row>
    <row r="182" spans="52:53" ht="12.75">
      <c r="AZ182" s="216"/>
      <c r="BA182" s="216"/>
    </row>
    <row r="183" spans="51:53" ht="12.75">
      <c r="AY183" s="47" t="s">
        <v>247</v>
      </c>
      <c r="AZ183" s="217">
        <v>2742934</v>
      </c>
      <c r="BA183" s="216"/>
    </row>
    <row r="184" spans="51:53" ht="12.75">
      <c r="AY184" s="47" t="s">
        <v>248</v>
      </c>
      <c r="AZ184" s="217">
        <f>AZ95</f>
        <v>69896</v>
      </c>
      <c r="BA184" s="216"/>
    </row>
    <row r="185" spans="51:53" ht="12.75">
      <c r="AY185" s="47" t="s">
        <v>250</v>
      </c>
      <c r="AZ185" s="217">
        <v>181853</v>
      </c>
      <c r="BA185" s="216"/>
    </row>
    <row r="186" spans="51:53" ht="12.75">
      <c r="AY186" s="47" t="s">
        <v>251</v>
      </c>
      <c r="AZ186" s="217">
        <v>163780</v>
      </c>
      <c r="BA186" s="216"/>
    </row>
    <row r="187" spans="51:52" ht="12.75">
      <c r="AY187" s="47" t="s">
        <v>249</v>
      </c>
      <c r="AZ187" s="217">
        <f>AZ131</f>
        <v>5706462</v>
      </c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 t="s">
        <v>280</v>
      </c>
      <c r="C196" s="3"/>
      <c r="D196" s="228">
        <v>42444</v>
      </c>
      <c r="E196" s="228">
        <v>42465</v>
      </c>
      <c r="F196" s="228">
        <v>1800</v>
      </c>
      <c r="G196" s="228">
        <f>E196-D196</f>
        <v>21</v>
      </c>
      <c r="H196" s="228"/>
      <c r="I196" s="60">
        <f>ROUND(F196*G196+H196,0)</f>
        <v>37800</v>
      </c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19" spans="1:9" ht="12.75">
      <c r="A219" s="48"/>
      <c r="B219" s="73"/>
      <c r="C219" s="48"/>
      <c r="D219" s="116"/>
      <c r="E219" s="117"/>
      <c r="F219" s="48"/>
      <c r="G219" s="48"/>
      <c r="H219" s="48"/>
      <c r="I219" s="48"/>
    </row>
    <row r="220" spans="1:9" ht="12.75">
      <c r="A220" s="74"/>
      <c r="B220" s="74"/>
      <c r="C220" s="74"/>
      <c r="D220" s="48"/>
      <c r="E220" s="50"/>
      <c r="F220" s="74"/>
      <c r="G220" s="74"/>
      <c r="H220" s="74"/>
      <c r="I220" s="74"/>
    </row>
    <row r="221" spans="1:9" ht="12.75">
      <c r="A221" s="49"/>
      <c r="B221" s="49"/>
      <c r="C221" s="49"/>
      <c r="D221" s="49"/>
      <c r="E221" s="46"/>
      <c r="F221" s="49"/>
      <c r="G221" s="49"/>
      <c r="H221" s="49"/>
      <c r="I221" s="49"/>
    </row>
    <row r="222" spans="1:9" ht="12.75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ht="12.75">
      <c r="A223" s="46"/>
      <c r="B223" s="53"/>
      <c r="C223" s="209"/>
      <c r="D223" s="209"/>
      <c r="E223" s="53"/>
      <c r="F223" s="53"/>
      <c r="G223" s="53"/>
      <c r="H223" s="53"/>
      <c r="I223" s="54"/>
    </row>
    <row r="224" spans="1:9" ht="12.75">
      <c r="A224" s="44"/>
      <c r="B224" s="45"/>
      <c r="C224" s="55"/>
      <c r="D224" s="55"/>
      <c r="E224" s="55"/>
      <c r="F224" s="55"/>
      <c r="G224" s="55"/>
      <c r="H224" s="55"/>
      <c r="I224" s="56"/>
    </row>
    <row r="225" spans="1:9" ht="12.75">
      <c r="A225" s="73"/>
      <c r="B225" s="48"/>
      <c r="C225" s="90"/>
      <c r="D225" s="121"/>
      <c r="E225" s="121"/>
      <c r="F225" s="60"/>
      <c r="G225" s="142"/>
      <c r="H225" s="44"/>
      <c r="I225" s="60"/>
    </row>
    <row r="226" spans="1:9" ht="12.75">
      <c r="A226" s="49"/>
      <c r="B226" s="46"/>
      <c r="C226" s="106"/>
      <c r="D226" s="121"/>
      <c r="E226" s="121"/>
      <c r="F226" s="60"/>
      <c r="G226" s="142"/>
      <c r="H226" s="44"/>
      <c r="I226" s="60"/>
    </row>
    <row r="227" spans="1:9" ht="12.75">
      <c r="A227" s="45"/>
      <c r="B227" s="55"/>
      <c r="C227" s="53"/>
      <c r="D227" s="55"/>
      <c r="E227" s="55"/>
      <c r="F227" s="107"/>
      <c r="G227" s="55"/>
      <c r="H227" s="56"/>
      <c r="I227" s="60"/>
    </row>
    <row r="228" spans="1:9" ht="12.75">
      <c r="A228" s="44"/>
      <c r="B228" s="45"/>
      <c r="C228" s="55"/>
      <c r="D228" s="55"/>
      <c r="E228" s="55"/>
      <c r="F228" s="55"/>
      <c r="G228" s="55"/>
      <c r="H228" s="55"/>
      <c r="I228" s="56"/>
    </row>
    <row r="229" spans="1:9" ht="12.75">
      <c r="A229" s="44"/>
      <c r="B229" s="44"/>
      <c r="C229" s="106"/>
      <c r="D229" s="121"/>
      <c r="E229" s="121"/>
      <c r="F229" s="60"/>
      <c r="G229" s="142"/>
      <c r="H229" s="44"/>
      <c r="I229" s="60"/>
    </row>
    <row r="230" spans="1:9" ht="12.75">
      <c r="A230" s="44"/>
      <c r="B230" s="55"/>
      <c r="C230" s="53"/>
      <c r="D230" s="55"/>
      <c r="E230" s="55"/>
      <c r="F230" s="107"/>
      <c r="G230" s="55"/>
      <c r="H230" s="56"/>
      <c r="I230" s="60"/>
    </row>
    <row r="231" spans="1:9" ht="12.75">
      <c r="A231" s="44"/>
      <c r="B231" s="45"/>
      <c r="C231" s="55"/>
      <c r="D231" s="55"/>
      <c r="E231" s="55"/>
      <c r="F231" s="55"/>
      <c r="G231" s="55"/>
      <c r="H231" s="56"/>
      <c r="I231" s="170"/>
    </row>
    <row r="232" spans="1:9" ht="12.75">
      <c r="A232" s="45"/>
      <c r="B232" s="45"/>
      <c r="C232" s="219"/>
      <c r="D232" s="220"/>
      <c r="E232" s="220"/>
      <c r="F232" s="221"/>
      <c r="G232" s="222"/>
      <c r="H232" s="56"/>
      <c r="I232" s="170"/>
    </row>
    <row r="233" spans="1:9" ht="12.75">
      <c r="A233" s="44"/>
      <c r="B233" s="45"/>
      <c r="C233" s="55"/>
      <c r="D233" s="55"/>
      <c r="E233" s="55"/>
      <c r="F233" s="55"/>
      <c r="G233" s="55"/>
      <c r="H233" s="55"/>
      <c r="I233" s="56"/>
    </row>
    <row r="234" spans="1:9" ht="12.75">
      <c r="A234" s="48"/>
      <c r="B234" s="48"/>
      <c r="C234" s="90"/>
      <c r="D234" s="73"/>
      <c r="E234" s="73"/>
      <c r="F234" s="75"/>
      <c r="G234" s="73"/>
      <c r="H234" s="73"/>
      <c r="I234" s="73"/>
    </row>
    <row r="235" spans="1:9" ht="12.75">
      <c r="A235" s="49"/>
      <c r="B235" s="49"/>
      <c r="C235" s="91"/>
      <c r="D235" s="212"/>
      <c r="E235" s="212"/>
      <c r="F235" s="68"/>
      <c r="G235" s="213"/>
      <c r="H235" s="68"/>
      <c r="I235" s="68"/>
    </row>
    <row r="236" spans="1:9" ht="12.75">
      <c r="A236" s="48"/>
      <c r="B236" s="48"/>
      <c r="C236" s="90"/>
      <c r="D236" s="214"/>
      <c r="E236" s="214"/>
      <c r="F236" s="75"/>
      <c r="G236" s="215"/>
      <c r="H236" s="73"/>
      <c r="I236" s="75"/>
    </row>
    <row r="237" spans="1:9" ht="12.75">
      <c r="A237" s="49"/>
      <c r="B237" s="49"/>
      <c r="C237" s="71"/>
      <c r="D237" s="119"/>
      <c r="E237" s="119"/>
      <c r="F237" s="68"/>
      <c r="G237" s="118"/>
      <c r="H237" s="71"/>
      <c r="I237" s="68"/>
    </row>
  </sheetData>
  <sheetProtection/>
  <printOptions/>
  <pageMargins left="0.7874015748031497" right="0.1968503937007874" top="0.1968503937007874" bottom="0.1968503937007874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79"/>
  <sheetViews>
    <sheetView zoomScalePageLayoutView="0" workbookViewId="0" topLeftCell="A1">
      <selection activeCell="C181" sqref="C181"/>
    </sheetView>
  </sheetViews>
  <sheetFormatPr defaultColWidth="9.00390625" defaultRowHeight="12.75"/>
  <cols>
    <col min="1" max="1" width="5.625" style="0" customWidth="1"/>
    <col min="2" max="2" width="38.25390625" style="0" customWidth="1"/>
    <col min="3" max="3" width="14.875" style="0" customWidth="1"/>
    <col min="4" max="4" width="13.25390625" style="0" customWidth="1"/>
    <col min="5" max="5" width="12.625" style="0" customWidth="1"/>
    <col min="6" max="6" width="9.375" style="0" customWidth="1"/>
    <col min="7" max="7" width="10.375" style="0" customWidth="1"/>
    <col min="8" max="8" width="8.25390625" style="0" customWidth="1"/>
    <col min="9" max="9" width="12.25390625" style="0" customWidth="1"/>
    <col min="10" max="10" width="5.625" style="0" customWidth="1"/>
    <col min="11" max="11" width="36.75390625" style="0" customWidth="1"/>
    <col min="12" max="12" width="14.875" style="0" customWidth="1"/>
    <col min="13" max="13" width="13.125" style="0" customWidth="1"/>
    <col min="14" max="14" width="12.375" style="0" customWidth="1"/>
    <col min="15" max="15" width="9.375" style="0" customWidth="1"/>
    <col min="16" max="16" width="10.375" style="0" customWidth="1"/>
    <col min="18" max="18" width="12.375" style="0" customWidth="1"/>
    <col min="19" max="19" width="7.375" style="0" customWidth="1"/>
    <col min="21" max="21" width="13.125" style="0" customWidth="1"/>
    <col min="22" max="22" width="26.75390625" style="0" customWidth="1"/>
    <col min="23" max="23" width="13.125" style="0" customWidth="1"/>
    <col min="24" max="24" width="12.625" style="0" customWidth="1"/>
    <col min="25" max="25" width="12.75390625" style="0" customWidth="1"/>
    <col min="26" max="26" width="13.125" style="0" customWidth="1"/>
    <col min="27" max="27" width="13.375" style="0" customWidth="1"/>
    <col min="28" max="28" width="6.375" style="0" customWidth="1"/>
    <col min="31" max="31" width="30.625" style="0" customWidth="1"/>
    <col min="32" max="32" width="13.125" style="0" customWidth="1"/>
    <col min="33" max="33" width="12.625" style="0" customWidth="1"/>
    <col min="34" max="35" width="13.25390625" style="0" customWidth="1"/>
    <col min="36" max="36" width="13.625" style="0" customWidth="1"/>
    <col min="37" max="37" width="6.75390625" style="0" customWidth="1"/>
    <col min="40" max="40" width="30.875" style="0" customWidth="1"/>
    <col min="41" max="41" width="13.75390625" style="0" customWidth="1"/>
    <col min="42" max="42" width="12.875" style="0" customWidth="1"/>
    <col min="43" max="43" width="11.625" style="0" customWidth="1"/>
    <col min="44" max="44" width="13.00390625" style="0" customWidth="1"/>
    <col min="45" max="45" width="12.375" style="0" customWidth="1"/>
    <col min="51" max="51" width="26.125" style="0" customWidth="1"/>
    <col min="52" max="52" width="17.125" style="0" customWidth="1"/>
    <col min="53" max="53" width="14.625" style="0" customWidth="1"/>
    <col min="54" max="54" width="15.625" style="0" customWidth="1"/>
    <col min="78" max="78" width="8.25390625" style="0" customWidth="1"/>
    <col min="81" max="81" width="11.00390625" style="0" customWidth="1"/>
    <col min="87" max="87" width="11.125" style="0" customWidth="1"/>
    <col min="89" max="89" width="5.875" style="0" customWidth="1"/>
    <col min="90" max="90" width="10.375" style="0" customWidth="1"/>
  </cols>
  <sheetData>
    <row r="1" spans="1:68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2.75">
      <c r="A2" s="47"/>
      <c r="B2" s="47"/>
      <c r="C2" s="47"/>
      <c r="D2" s="47" t="s">
        <v>87</v>
      </c>
      <c r="E2" s="47"/>
      <c r="F2" s="47"/>
      <c r="G2" s="47"/>
      <c r="H2" s="47"/>
      <c r="I2" s="47"/>
      <c r="J2" s="47"/>
      <c r="K2" s="47"/>
      <c r="L2" s="47"/>
      <c r="M2" s="47" t="s">
        <v>171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184</v>
      </c>
      <c r="AC2" s="47"/>
      <c r="AD2" s="47"/>
      <c r="AE2" s="47"/>
      <c r="AF2" s="47"/>
      <c r="AG2" s="47"/>
      <c r="AH2" s="47"/>
      <c r="AI2" s="47"/>
      <c r="AJ2" s="47"/>
      <c r="AK2" s="47" t="s">
        <v>184</v>
      </c>
      <c r="AL2" s="47"/>
      <c r="AM2" s="47"/>
      <c r="AN2" s="47"/>
      <c r="AO2" s="47"/>
      <c r="AP2" s="47"/>
      <c r="AQ2" s="47"/>
      <c r="AR2" s="47"/>
      <c r="AS2" s="47"/>
      <c r="AT2" s="64" t="s">
        <v>262</v>
      </c>
      <c r="AU2" s="47"/>
      <c r="AV2" s="47"/>
      <c r="AW2" s="47"/>
      <c r="AX2" s="47"/>
      <c r="AY2" s="47"/>
      <c r="AZ2" s="47"/>
      <c r="BA2" s="47"/>
      <c r="BB2" s="47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2.75">
      <c r="A3" s="47"/>
      <c r="B3" s="47"/>
      <c r="C3" s="47"/>
      <c r="D3" s="47" t="s">
        <v>88</v>
      </c>
      <c r="E3" s="47"/>
      <c r="F3" s="47"/>
      <c r="G3" s="47"/>
      <c r="H3" s="47"/>
      <c r="I3" s="47"/>
      <c r="J3" s="47"/>
      <c r="K3" s="47"/>
      <c r="L3" s="47"/>
      <c r="M3" s="47" t="s">
        <v>172</v>
      </c>
      <c r="N3" s="47"/>
      <c r="O3" s="47"/>
      <c r="P3" s="47"/>
      <c r="Q3" s="47"/>
      <c r="R3" s="47"/>
      <c r="S3" s="47" t="s">
        <v>184</v>
      </c>
      <c r="T3" s="47"/>
      <c r="U3" s="47"/>
      <c r="V3" s="47"/>
      <c r="W3" s="47"/>
      <c r="X3" s="47"/>
      <c r="Y3" s="47"/>
      <c r="Z3" s="47"/>
      <c r="AA3" s="47"/>
      <c r="AB3" s="47" t="s">
        <v>183</v>
      </c>
      <c r="AC3" s="47"/>
      <c r="AD3" s="47"/>
      <c r="AE3" s="47"/>
      <c r="AF3" s="47"/>
      <c r="AG3" s="47"/>
      <c r="AH3" s="47"/>
      <c r="AI3" s="47"/>
      <c r="AJ3" s="47"/>
      <c r="AK3" s="47" t="s">
        <v>183</v>
      </c>
      <c r="AL3" s="47"/>
      <c r="AM3" s="47"/>
      <c r="AN3" s="47"/>
      <c r="AO3" s="47"/>
      <c r="AP3" s="47"/>
      <c r="AQ3" s="47"/>
      <c r="AR3" s="47"/>
      <c r="AS3" s="47"/>
      <c r="AT3" s="64" t="s">
        <v>264</v>
      </c>
      <c r="AU3" s="47"/>
      <c r="AV3" s="47"/>
      <c r="AW3" s="47"/>
      <c r="AX3" s="47"/>
      <c r="AY3" s="47"/>
      <c r="AZ3" s="47"/>
      <c r="BA3" s="47"/>
      <c r="BB3" s="47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183</v>
      </c>
      <c r="T4" s="47"/>
      <c r="U4" s="47"/>
      <c r="V4" s="47"/>
      <c r="W4" s="47"/>
      <c r="X4" s="47"/>
      <c r="Y4" s="47"/>
      <c r="Z4" s="47"/>
      <c r="AA4" s="47"/>
      <c r="AB4" s="47" t="s">
        <v>185</v>
      </c>
      <c r="AC4" s="47"/>
      <c r="AD4" s="47"/>
      <c r="AE4" s="47"/>
      <c r="AF4" s="47"/>
      <c r="AG4" s="47"/>
      <c r="AH4" s="47"/>
      <c r="AI4" s="47"/>
      <c r="AJ4" s="47"/>
      <c r="AK4" s="47" t="s">
        <v>185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207</v>
      </c>
      <c r="AV4" s="47"/>
      <c r="AW4" s="47"/>
      <c r="AX4" s="47"/>
      <c r="AY4" s="144" t="s">
        <v>10</v>
      </c>
      <c r="AZ4" s="144" t="s">
        <v>288</v>
      </c>
      <c r="BA4" s="47"/>
      <c r="BB4" s="47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>
      <c r="A5" s="47"/>
      <c r="B5" s="47"/>
      <c r="C5" s="47" t="s">
        <v>89</v>
      </c>
      <c r="D5" s="47"/>
      <c r="E5" s="47"/>
      <c r="F5" s="47"/>
      <c r="G5" s="47"/>
      <c r="H5" s="47"/>
      <c r="I5" s="47"/>
      <c r="J5" s="47"/>
      <c r="K5" s="47"/>
      <c r="L5" s="47" t="s">
        <v>89</v>
      </c>
      <c r="M5" s="47"/>
      <c r="N5" s="47"/>
      <c r="O5" s="47"/>
      <c r="P5" s="47"/>
      <c r="Q5" s="47"/>
      <c r="R5" s="47"/>
      <c r="S5" s="47" t="s">
        <v>185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209</v>
      </c>
      <c r="AV5" s="51"/>
      <c r="AW5" s="51"/>
      <c r="AX5" s="51"/>
      <c r="AY5" s="51"/>
      <c r="AZ5" s="50" t="s">
        <v>210</v>
      </c>
      <c r="BA5" s="50" t="s">
        <v>211</v>
      </c>
      <c r="BB5" s="48" t="s">
        <v>198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.75">
      <c r="A6" s="47"/>
      <c r="B6" s="47"/>
      <c r="C6" s="47"/>
      <c r="D6" s="167" t="s">
        <v>292</v>
      </c>
      <c r="E6" s="167"/>
      <c r="F6" s="47"/>
      <c r="G6" s="47"/>
      <c r="H6" s="47"/>
      <c r="I6" s="47"/>
      <c r="J6" s="47"/>
      <c r="K6" s="47"/>
      <c r="L6" s="47"/>
      <c r="M6" s="167" t="s">
        <v>292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212</v>
      </c>
      <c r="BA6" s="63" t="s">
        <v>73</v>
      </c>
      <c r="BB6" s="74" t="s">
        <v>12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.75">
      <c r="A7" s="47" t="s">
        <v>260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74</v>
      </c>
      <c r="BA7" s="46"/>
      <c r="BB7" s="49" t="s">
        <v>13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.75">
      <c r="A8" s="47" t="s">
        <v>90</v>
      </c>
      <c r="B8" s="47"/>
      <c r="C8" s="47"/>
      <c r="D8" s="47"/>
      <c r="E8" s="47"/>
      <c r="F8" s="47"/>
      <c r="G8" s="47"/>
      <c r="H8" s="47"/>
      <c r="I8" s="47"/>
      <c r="J8" s="47" t="s">
        <v>260</v>
      </c>
      <c r="K8" s="47"/>
      <c r="L8" s="47"/>
      <c r="M8" s="47"/>
      <c r="N8" s="47"/>
      <c r="O8" s="47"/>
      <c r="P8" s="47"/>
      <c r="Q8" s="47"/>
      <c r="R8" s="47"/>
      <c r="S8" s="47" t="s">
        <v>196</v>
      </c>
      <c r="T8" s="47"/>
      <c r="U8" s="47"/>
      <c r="V8" s="47"/>
      <c r="W8" s="47"/>
      <c r="X8" s="47"/>
      <c r="Y8" s="47"/>
      <c r="Z8" s="47"/>
      <c r="AA8" s="47"/>
      <c r="AB8" s="47" t="s">
        <v>196</v>
      </c>
      <c r="AC8" s="47"/>
      <c r="AD8" s="47"/>
      <c r="AE8" s="47"/>
      <c r="AF8" s="47"/>
      <c r="AG8" s="47"/>
      <c r="AH8" s="47"/>
      <c r="AI8" s="47"/>
      <c r="AJ8" s="47"/>
      <c r="AK8" s="47" t="s">
        <v>196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13457442.199999997</v>
      </c>
      <c r="BA8" s="168"/>
      <c r="BB8" s="169">
        <f>BB9+BB14</f>
        <v>23138900.02424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.75">
      <c r="A9" s="47" t="s">
        <v>92</v>
      </c>
      <c r="B9" s="47"/>
      <c r="C9" s="47"/>
      <c r="D9" s="47"/>
      <c r="E9" s="47"/>
      <c r="F9" s="47" t="s">
        <v>91</v>
      </c>
      <c r="G9" s="47"/>
      <c r="H9" s="47"/>
      <c r="I9" s="47"/>
      <c r="J9" s="47" t="s">
        <v>90</v>
      </c>
      <c r="K9" s="47"/>
      <c r="L9" s="47"/>
      <c r="M9" s="47"/>
      <c r="N9" s="47"/>
      <c r="O9" s="47" t="s">
        <v>91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200</v>
      </c>
      <c r="AU9" s="146"/>
      <c r="AV9" s="146"/>
      <c r="AW9" s="146"/>
      <c r="AX9" s="51"/>
      <c r="AY9" s="52"/>
      <c r="AZ9" s="170">
        <f>AZ11+AZ12</f>
        <v>5913394</v>
      </c>
      <c r="BA9" s="171">
        <f>(BB12+BB11)/AZ9</f>
        <v>3.912419873263983</v>
      </c>
      <c r="BB9" s="169">
        <f>BB10+BB11+BB12+BB13</f>
        <v>23135680.20404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.75">
      <c r="A10" s="48" t="s">
        <v>187</v>
      </c>
      <c r="B10" s="73" t="s">
        <v>93</v>
      </c>
      <c r="C10" s="48" t="s">
        <v>94</v>
      </c>
      <c r="D10" s="116" t="s">
        <v>169</v>
      </c>
      <c r="E10" s="117"/>
      <c r="F10" s="48" t="s">
        <v>95</v>
      </c>
      <c r="G10" s="48" t="s">
        <v>208</v>
      </c>
      <c r="H10" s="48" t="s">
        <v>96</v>
      </c>
      <c r="I10" s="48" t="s">
        <v>86</v>
      </c>
      <c r="J10" s="47" t="s">
        <v>92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293</v>
      </c>
      <c r="Z10" s="47"/>
      <c r="AA10" s="47"/>
      <c r="AB10" s="47"/>
      <c r="AC10" s="47"/>
      <c r="AD10" s="47"/>
      <c r="AE10" s="47"/>
      <c r="AF10" s="47"/>
      <c r="AG10" s="47"/>
      <c r="AH10" s="167" t="s">
        <v>293</v>
      </c>
      <c r="AI10" s="47"/>
      <c r="AJ10" s="47"/>
      <c r="AK10" s="47"/>
      <c r="AL10" s="47"/>
      <c r="AM10" s="47"/>
      <c r="AN10" s="47"/>
      <c r="AO10" s="47"/>
      <c r="AP10" s="47"/>
      <c r="AQ10" s="167" t="s">
        <v>293</v>
      </c>
      <c r="AR10" s="47"/>
      <c r="AS10" s="47"/>
      <c r="AT10" s="50" t="s">
        <v>75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.75">
      <c r="A11" s="74"/>
      <c r="B11" s="74"/>
      <c r="C11" s="74"/>
      <c r="D11" s="48" t="s">
        <v>97</v>
      </c>
      <c r="E11" s="50" t="s">
        <v>98</v>
      </c>
      <c r="F11" s="74" t="s">
        <v>99</v>
      </c>
      <c r="G11" s="74" t="s">
        <v>85</v>
      </c>
      <c r="H11" s="74"/>
      <c r="I11" s="74" t="s">
        <v>100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76</v>
      </c>
      <c r="AU11" s="51"/>
      <c r="AV11" s="51"/>
      <c r="AW11" s="51"/>
      <c r="AX11" s="51"/>
      <c r="AY11" s="52"/>
      <c r="AZ11" s="60">
        <f>I81+I73</f>
        <v>9976</v>
      </c>
      <c r="BA11" s="175">
        <v>5.64029</v>
      </c>
      <c r="BB11" s="174">
        <f>AZ11*BA11</f>
        <v>56267.53304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.75">
      <c r="A12" s="49"/>
      <c r="B12" s="49"/>
      <c r="C12" s="49"/>
      <c r="D12" s="49" t="s">
        <v>101</v>
      </c>
      <c r="E12" s="46" t="s">
        <v>101</v>
      </c>
      <c r="F12" s="49" t="s">
        <v>102</v>
      </c>
      <c r="G12" s="49"/>
      <c r="H12" s="49"/>
      <c r="I12" s="49"/>
      <c r="J12" s="48" t="s">
        <v>187</v>
      </c>
      <c r="K12" s="73" t="s">
        <v>93</v>
      </c>
      <c r="L12" s="48" t="s">
        <v>94</v>
      </c>
      <c r="M12" s="116" t="s">
        <v>224</v>
      </c>
      <c r="N12" s="117"/>
      <c r="O12" s="48" t="s">
        <v>95</v>
      </c>
      <c r="P12" s="48" t="s">
        <v>208</v>
      </c>
      <c r="Q12" s="48" t="s">
        <v>96</v>
      </c>
      <c r="R12" s="48" t="s">
        <v>86</v>
      </c>
      <c r="S12" s="48" t="s">
        <v>187</v>
      </c>
      <c r="T12" s="50" t="s">
        <v>188</v>
      </c>
      <c r="U12" s="51"/>
      <c r="V12" s="52"/>
      <c r="W12" s="45" t="s">
        <v>189</v>
      </c>
      <c r="X12" s="55"/>
      <c r="Y12" s="55"/>
      <c r="Z12" s="55"/>
      <c r="AA12" s="56"/>
      <c r="AB12" s="48" t="s">
        <v>187</v>
      </c>
      <c r="AC12" s="50" t="s">
        <v>188</v>
      </c>
      <c r="AD12" s="51"/>
      <c r="AE12" s="52"/>
      <c r="AF12" s="45" t="s">
        <v>189</v>
      </c>
      <c r="AG12" s="55"/>
      <c r="AH12" s="55"/>
      <c r="AI12" s="55"/>
      <c r="AJ12" s="56"/>
      <c r="AK12" s="48" t="s">
        <v>187</v>
      </c>
      <c r="AL12" s="50" t="s">
        <v>188</v>
      </c>
      <c r="AM12" s="51"/>
      <c r="AN12" s="52"/>
      <c r="AO12" s="45" t="s">
        <v>189</v>
      </c>
      <c r="AP12" s="55"/>
      <c r="AQ12" s="55"/>
      <c r="AR12" s="55"/>
      <c r="AS12" s="56"/>
      <c r="AT12" s="50" t="s">
        <v>77</v>
      </c>
      <c r="AU12" s="51"/>
      <c r="AV12" s="51"/>
      <c r="AW12" s="51"/>
      <c r="AX12" s="51"/>
      <c r="AY12" s="52"/>
      <c r="AZ12" s="170">
        <f>I75</f>
        <v>5903418</v>
      </c>
      <c r="BA12" s="176">
        <v>3.9095</v>
      </c>
      <c r="BB12" s="174">
        <f>AZ12*BA12</f>
        <v>23079412.671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97</v>
      </c>
      <c r="N13" s="50" t="s">
        <v>98</v>
      </c>
      <c r="O13" s="74" t="s">
        <v>99</v>
      </c>
      <c r="P13" s="74" t="s">
        <v>85</v>
      </c>
      <c r="Q13" s="74"/>
      <c r="R13" s="74" t="s">
        <v>100</v>
      </c>
      <c r="S13" s="49"/>
      <c r="T13" s="46"/>
      <c r="U13" s="53"/>
      <c r="V13" s="54"/>
      <c r="W13" s="57" t="s">
        <v>190</v>
      </c>
      <c r="X13" s="57" t="s">
        <v>191</v>
      </c>
      <c r="Y13" s="57" t="s">
        <v>192</v>
      </c>
      <c r="Z13" s="57" t="s">
        <v>193</v>
      </c>
      <c r="AA13" s="57" t="s">
        <v>194</v>
      </c>
      <c r="AB13" s="49"/>
      <c r="AC13" s="46"/>
      <c r="AD13" s="53"/>
      <c r="AE13" s="54"/>
      <c r="AF13" s="57" t="s">
        <v>190</v>
      </c>
      <c r="AG13" s="57" t="s">
        <v>191</v>
      </c>
      <c r="AH13" s="57" t="s">
        <v>192</v>
      </c>
      <c r="AI13" s="57" t="s">
        <v>193</v>
      </c>
      <c r="AJ13" s="57" t="s">
        <v>194</v>
      </c>
      <c r="AK13" s="49"/>
      <c r="AL13" s="46"/>
      <c r="AM13" s="53"/>
      <c r="AN13" s="54"/>
      <c r="AO13" s="57" t="s">
        <v>190</v>
      </c>
      <c r="AP13" s="57" t="s">
        <v>191</v>
      </c>
      <c r="AQ13" s="57" t="s">
        <v>192</v>
      </c>
      <c r="AR13" s="57" t="s">
        <v>193</v>
      </c>
      <c r="AS13" s="57" t="s">
        <v>194</v>
      </c>
      <c r="AT13" s="45" t="s">
        <v>70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.75">
      <c r="A14" s="46"/>
      <c r="B14" s="53"/>
      <c r="C14" s="209" t="s">
        <v>103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101</v>
      </c>
      <c r="N14" s="46" t="s">
        <v>101</v>
      </c>
      <c r="O14" s="49" t="s">
        <v>102</v>
      </c>
      <c r="P14" s="49"/>
      <c r="Q14" s="49"/>
      <c r="R14" s="49"/>
      <c r="S14" s="57">
        <v>1</v>
      </c>
      <c r="T14" s="44" t="s">
        <v>61</v>
      </c>
      <c r="U14" s="44"/>
      <c r="V14" s="44"/>
      <c r="W14" s="60">
        <f aca="true" t="shared" si="0" ref="W14:W25">SUM(X14:AA14)</f>
        <v>7267983</v>
      </c>
      <c r="X14" s="60">
        <f>SUM(X15:X26)</f>
        <v>6064857</v>
      </c>
      <c r="Y14" s="60">
        <f>SUM(Y15:Y27)</f>
        <v>0</v>
      </c>
      <c r="Z14" s="60">
        <f>SUM(Z15:Z26)</f>
        <v>1203126</v>
      </c>
      <c r="AA14" s="57">
        <f>SUM(AA15:AA27)</f>
        <v>0</v>
      </c>
      <c r="AB14" s="57"/>
      <c r="AC14" s="44" t="s">
        <v>41</v>
      </c>
      <c r="AD14" s="44"/>
      <c r="AE14" s="44"/>
      <c r="AF14" s="67">
        <f>SUM(AG14:AJ14)</f>
        <v>194231</v>
      </c>
      <c r="AG14" s="60">
        <f>SUM(AG16:AG22)</f>
        <v>184877</v>
      </c>
      <c r="AH14" s="60">
        <f>SUM(AH16:AH22)</f>
        <v>0</v>
      </c>
      <c r="AI14" s="60">
        <f>SUM(AI16:AI22)</f>
        <v>9354</v>
      </c>
      <c r="AJ14" s="57">
        <f>SUM(AJ16:AJ22)</f>
        <v>0</v>
      </c>
      <c r="AK14" s="73">
        <v>1</v>
      </c>
      <c r="AL14" s="48" t="s">
        <v>41</v>
      </c>
      <c r="AM14" s="48"/>
      <c r="AN14" s="48"/>
      <c r="AO14" s="75">
        <f>SUM(AP14:AS14)</f>
        <v>81795</v>
      </c>
      <c r="AP14" s="75">
        <f>SUM(AP16:AP17)</f>
        <v>0</v>
      </c>
      <c r="AQ14" s="75">
        <f>SUM(AQ16:AQ17)</f>
        <v>0</v>
      </c>
      <c r="AR14" s="75">
        <f>ROUND(SUM(AR16:AR20),0)</f>
        <v>81795</v>
      </c>
      <c r="AS14" s="73">
        <f>SUM(AS16:AS17)</f>
        <v>0</v>
      </c>
      <c r="AT14" s="49" t="s">
        <v>214</v>
      </c>
      <c r="AU14" s="49"/>
      <c r="AV14" s="49"/>
      <c r="AW14" s="49"/>
      <c r="AX14" s="49"/>
      <c r="AY14" s="49"/>
      <c r="AZ14" s="170">
        <f>SUM(AZ15:AZ21)</f>
        <v>730</v>
      </c>
      <c r="BA14" s="177"/>
      <c r="BB14" s="174">
        <f>SUM(BB15:BB21)</f>
        <v>3219.8202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.75">
      <c r="A15" s="46"/>
      <c r="B15" s="45" t="s">
        <v>253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47</v>
      </c>
      <c r="T15" s="50" t="s">
        <v>26</v>
      </c>
      <c r="U15" s="51"/>
      <c r="V15" s="51"/>
      <c r="W15" s="67">
        <f t="shared" si="0"/>
        <v>3641192</v>
      </c>
      <c r="X15" s="88">
        <f>ROUND(I20,0)</f>
        <v>3641192</v>
      </c>
      <c r="Y15" s="73">
        <v>0</v>
      </c>
      <c r="Z15" s="73">
        <v>0</v>
      </c>
      <c r="AA15" s="73">
        <v>0</v>
      </c>
      <c r="AB15" s="73">
        <v>1</v>
      </c>
      <c r="AC15" s="50" t="s">
        <v>273</v>
      </c>
      <c r="AD15" s="51"/>
      <c r="AE15" s="52"/>
      <c r="AF15" s="66"/>
      <c r="AG15" s="69"/>
      <c r="AH15" s="69"/>
      <c r="AI15" s="69"/>
      <c r="AJ15" s="192"/>
      <c r="AK15" s="208"/>
      <c r="AL15" s="50" t="s">
        <v>275</v>
      </c>
      <c r="AM15" s="51"/>
      <c r="AN15" s="52"/>
      <c r="AO15" s="75"/>
      <c r="AP15" s="73"/>
      <c r="AQ15" s="73"/>
      <c r="AR15" s="75"/>
      <c r="AS15" s="73"/>
      <c r="AT15" s="52" t="s">
        <v>71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.75">
      <c r="A16" s="73">
        <v>1</v>
      </c>
      <c r="B16" s="48" t="s">
        <v>143</v>
      </c>
      <c r="C16" s="90">
        <v>804152757</v>
      </c>
      <c r="D16" s="121">
        <v>5069.0767</v>
      </c>
      <c r="E16" s="121">
        <v>5178.2875</v>
      </c>
      <c r="F16" s="60">
        <v>36000</v>
      </c>
      <c r="G16" s="142">
        <f>E16-D16</f>
        <v>109.21080000000075</v>
      </c>
      <c r="H16" s="44"/>
      <c r="I16" s="60">
        <f>ROUND((F16*G16+H16),0)</f>
        <v>3931589</v>
      </c>
      <c r="J16" s="46"/>
      <c r="K16" s="53"/>
      <c r="L16" s="53" t="s">
        <v>103</v>
      </c>
      <c r="M16" s="53"/>
      <c r="N16" s="53"/>
      <c r="O16" s="53"/>
      <c r="P16" s="53"/>
      <c r="Q16" s="53"/>
      <c r="R16" s="54"/>
      <c r="S16" s="61" t="s">
        <v>48</v>
      </c>
      <c r="T16" s="63" t="s">
        <v>27</v>
      </c>
      <c r="U16" s="64"/>
      <c r="V16" s="64"/>
      <c r="W16" s="67">
        <f t="shared" si="0"/>
        <v>159598</v>
      </c>
      <c r="X16" s="81">
        <f>ROUND(I27,0)</f>
        <v>159598</v>
      </c>
      <c r="Y16" s="70">
        <v>0</v>
      </c>
      <c r="Z16" s="67">
        <v>0</v>
      </c>
      <c r="AA16" s="70">
        <v>0</v>
      </c>
      <c r="AB16" s="61" t="s">
        <v>47</v>
      </c>
      <c r="AC16" s="63" t="s">
        <v>195</v>
      </c>
      <c r="AD16" s="64"/>
      <c r="AE16" s="65"/>
      <c r="AF16" s="67">
        <f>AG16+AH16+AI16+AJ16</f>
        <v>184877</v>
      </c>
      <c r="AG16" s="67">
        <v>184877</v>
      </c>
      <c r="AH16" s="70">
        <v>0</v>
      </c>
      <c r="AI16" s="67">
        <v>0</v>
      </c>
      <c r="AJ16" s="87">
        <v>0</v>
      </c>
      <c r="AK16" s="61" t="s">
        <v>47</v>
      </c>
      <c r="AL16" s="63" t="s">
        <v>14</v>
      </c>
      <c r="AM16" s="64"/>
      <c r="AN16" s="65"/>
      <c r="AO16" s="67">
        <f>AP16+AQ16+AR16+AS16</f>
        <v>227</v>
      </c>
      <c r="AP16" s="70">
        <v>0</v>
      </c>
      <c r="AQ16" s="70">
        <v>0</v>
      </c>
      <c r="AR16" s="67">
        <v>227</v>
      </c>
      <c r="AS16" s="70">
        <v>0</v>
      </c>
      <c r="AT16" s="52" t="s">
        <v>71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.75">
      <c r="A17" s="49"/>
      <c r="B17" s="46" t="s">
        <v>144</v>
      </c>
      <c r="C17" s="106">
        <v>109054169</v>
      </c>
      <c r="D17" s="121">
        <v>7769.3908</v>
      </c>
      <c r="E17" s="121">
        <v>7930.4065</v>
      </c>
      <c r="F17" s="60">
        <v>36000</v>
      </c>
      <c r="G17" s="142">
        <f>E17-D17</f>
        <v>161.01569999999992</v>
      </c>
      <c r="H17" s="44"/>
      <c r="I17" s="60">
        <f>F17*G17+H17</f>
        <v>5796565.199999997</v>
      </c>
      <c r="J17" s="44"/>
      <c r="K17" s="45" t="s">
        <v>104</v>
      </c>
      <c r="L17" s="55"/>
      <c r="M17" s="55"/>
      <c r="N17" s="55"/>
      <c r="O17" s="55"/>
      <c r="P17" s="55"/>
      <c r="Q17" s="55"/>
      <c r="R17" s="56"/>
      <c r="S17" s="61" t="s">
        <v>49</v>
      </c>
      <c r="T17" s="63" t="s">
        <v>28</v>
      </c>
      <c r="U17" s="64"/>
      <c r="V17" s="64"/>
      <c r="W17" s="67">
        <f t="shared" si="0"/>
        <v>343248</v>
      </c>
      <c r="X17" s="81">
        <f>ROUND(I29,0)</f>
        <v>343248</v>
      </c>
      <c r="Y17" s="70">
        <v>0</v>
      </c>
      <c r="Z17" s="67">
        <v>0</v>
      </c>
      <c r="AA17" s="70">
        <v>0</v>
      </c>
      <c r="AB17" s="61" t="s">
        <v>48</v>
      </c>
      <c r="AC17" s="63" t="s">
        <v>69</v>
      </c>
      <c r="AD17" s="64"/>
      <c r="AE17" s="65"/>
      <c r="AF17" s="67">
        <f>AG17+AH17+AI17+AJ17</f>
        <v>1625</v>
      </c>
      <c r="AG17" s="70">
        <v>0</v>
      </c>
      <c r="AH17" s="70">
        <v>0</v>
      </c>
      <c r="AI17" s="67">
        <v>1625</v>
      </c>
      <c r="AJ17" s="87">
        <v>0</v>
      </c>
      <c r="AK17" s="61" t="s">
        <v>48</v>
      </c>
      <c r="AL17" s="63" t="s">
        <v>163</v>
      </c>
      <c r="AM17" s="64"/>
      <c r="AN17" s="65"/>
      <c r="AO17" s="67">
        <f>AP17+AQ17+AR17+AS17</f>
        <v>2224</v>
      </c>
      <c r="AP17" s="70">
        <v>0</v>
      </c>
      <c r="AQ17" s="70">
        <v>0</v>
      </c>
      <c r="AR17" s="67">
        <v>2224</v>
      </c>
      <c r="AS17" s="70">
        <v>0</v>
      </c>
      <c r="AT17" s="51" t="s">
        <v>43</v>
      </c>
      <c r="AU17" s="51"/>
      <c r="AV17" s="51"/>
      <c r="AW17" s="51"/>
      <c r="AX17" s="51"/>
      <c r="AY17" s="52"/>
      <c r="AZ17" s="170">
        <f>R21</f>
        <v>380</v>
      </c>
      <c r="BA17" s="180">
        <v>3.41</v>
      </c>
      <c r="BB17" s="174">
        <f>AZ17*BA17</f>
        <v>1295.8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.75">
      <c r="A18" s="45"/>
      <c r="B18" s="55"/>
      <c r="C18" s="53"/>
      <c r="D18" s="55"/>
      <c r="E18" s="55"/>
      <c r="F18" s="107" t="s">
        <v>106</v>
      </c>
      <c r="G18" s="55"/>
      <c r="H18" s="56"/>
      <c r="I18" s="60">
        <f>ROUND((I16+I17+I22),0)</f>
        <v>9806274</v>
      </c>
      <c r="J18" s="57">
        <v>1</v>
      </c>
      <c r="K18" s="45" t="s">
        <v>105</v>
      </c>
      <c r="L18" s="55"/>
      <c r="M18" s="55"/>
      <c r="N18" s="55"/>
      <c r="O18" s="55"/>
      <c r="P18" s="55"/>
      <c r="Q18" s="55"/>
      <c r="R18" s="56"/>
      <c r="S18" s="61" t="s">
        <v>50</v>
      </c>
      <c r="T18" s="63" t="s">
        <v>29</v>
      </c>
      <c r="U18" s="64"/>
      <c r="V18" s="64"/>
      <c r="W18" s="67">
        <f t="shared" si="0"/>
        <v>241671</v>
      </c>
      <c r="X18" s="81">
        <f>ROUND(I31,0)</f>
        <v>241671</v>
      </c>
      <c r="Y18" s="70">
        <v>0</v>
      </c>
      <c r="Z18" s="67">
        <v>0</v>
      </c>
      <c r="AA18" s="70">
        <v>0</v>
      </c>
      <c r="AB18" s="62" t="s">
        <v>49</v>
      </c>
      <c r="AC18" s="53" t="s">
        <v>58</v>
      </c>
      <c r="AD18" s="53"/>
      <c r="AE18" s="53"/>
      <c r="AF18" s="68">
        <f>AG18+AH18+AI18+AJ18</f>
        <v>7729</v>
      </c>
      <c r="AG18" s="71">
        <v>0</v>
      </c>
      <c r="AH18" s="71">
        <v>0</v>
      </c>
      <c r="AI18" s="68">
        <v>7729</v>
      </c>
      <c r="AJ18" s="207">
        <v>0</v>
      </c>
      <c r="AK18" s="61" t="s">
        <v>49</v>
      </c>
      <c r="AL18" s="63" t="s">
        <v>40</v>
      </c>
      <c r="AM18" s="64"/>
      <c r="AN18" s="65"/>
      <c r="AO18" s="67">
        <f>AP18+AQ18+AR18+AS18</f>
        <v>63638</v>
      </c>
      <c r="AP18" s="70">
        <v>0</v>
      </c>
      <c r="AQ18" s="70">
        <v>0</v>
      </c>
      <c r="AR18" s="67">
        <v>63638</v>
      </c>
      <c r="AS18" s="70">
        <v>0</v>
      </c>
      <c r="AT18" s="51" t="s">
        <v>44</v>
      </c>
      <c r="AU18" s="51"/>
      <c r="AV18" s="51"/>
      <c r="AW18" s="51"/>
      <c r="AX18" s="51"/>
      <c r="AY18" s="52"/>
      <c r="AZ18" s="170">
        <f>R22</f>
        <v>60</v>
      </c>
      <c r="BA18" s="180">
        <v>1.62</v>
      </c>
      <c r="BB18" s="174">
        <f>AZ18*BA18</f>
        <v>97.2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.75">
      <c r="A19" s="44" t="s">
        <v>107</v>
      </c>
      <c r="B19" s="45" t="s">
        <v>225</v>
      </c>
      <c r="C19" s="55"/>
      <c r="D19" s="55"/>
      <c r="E19" s="55"/>
      <c r="F19" s="55"/>
      <c r="G19" s="55"/>
      <c r="H19" s="55"/>
      <c r="I19" s="56"/>
      <c r="J19" s="73" t="s">
        <v>107</v>
      </c>
      <c r="K19" s="48" t="s">
        <v>173</v>
      </c>
      <c r="L19" s="73">
        <v>16654</v>
      </c>
      <c r="M19" s="124">
        <v>6136</v>
      </c>
      <c r="N19" s="124">
        <v>6426</v>
      </c>
      <c r="O19" s="73">
        <v>1</v>
      </c>
      <c r="P19" s="148">
        <f>N19-M19</f>
        <v>290</v>
      </c>
      <c r="Q19" s="149"/>
      <c r="R19" s="75">
        <f>O19*P19+Q19</f>
        <v>290</v>
      </c>
      <c r="S19" s="61" t="s">
        <v>55</v>
      </c>
      <c r="T19" s="63" t="s">
        <v>30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50</v>
      </c>
      <c r="AL19" s="63" t="s">
        <v>60</v>
      </c>
      <c r="AM19" s="64"/>
      <c r="AN19" s="65"/>
      <c r="AO19" s="67">
        <f>AP19+AQ19+AR19+AS19</f>
        <v>884</v>
      </c>
      <c r="AP19" s="67">
        <v>0</v>
      </c>
      <c r="AQ19" s="70">
        <v>0</v>
      </c>
      <c r="AR19" s="67">
        <v>884</v>
      </c>
      <c r="AS19" s="70">
        <v>0</v>
      </c>
      <c r="AT19" s="51" t="s">
        <v>78</v>
      </c>
      <c r="AU19" s="51"/>
      <c r="AV19" s="51"/>
      <c r="AW19" s="51"/>
      <c r="AX19" s="51"/>
      <c r="AY19" s="52"/>
      <c r="AZ19" s="181">
        <f>R19+R20</f>
        <v>290</v>
      </c>
      <c r="BA19" s="175">
        <v>6.29938</v>
      </c>
      <c r="BB19" s="174">
        <f>AZ19*BA19</f>
        <v>1826.8202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.75">
      <c r="A20" s="44" t="s">
        <v>109</v>
      </c>
      <c r="B20" s="44" t="s">
        <v>110</v>
      </c>
      <c r="C20" s="106">
        <v>109053225</v>
      </c>
      <c r="D20" s="121">
        <v>19570.6084</v>
      </c>
      <c r="E20" s="121">
        <v>19743.9985</v>
      </c>
      <c r="F20" s="60">
        <v>21000</v>
      </c>
      <c r="G20" s="142">
        <f>E20-D20</f>
        <v>173.39010000000053</v>
      </c>
      <c r="H20" s="44"/>
      <c r="I20" s="60">
        <f>ROUND((F20*G20+H20),0)</f>
        <v>3641192</v>
      </c>
      <c r="J20" s="49"/>
      <c r="K20" s="49" t="s">
        <v>174</v>
      </c>
      <c r="L20" s="49"/>
      <c r="M20" s="49"/>
      <c r="N20" s="49"/>
      <c r="O20" s="49"/>
      <c r="P20" s="80"/>
      <c r="Q20" s="150"/>
      <c r="R20" s="166"/>
      <c r="S20" s="61" t="s">
        <v>59</v>
      </c>
      <c r="T20" s="63" t="s">
        <v>31</v>
      </c>
      <c r="U20" s="64"/>
      <c r="V20" s="64"/>
      <c r="W20" s="67">
        <f t="shared" si="0"/>
        <v>718124</v>
      </c>
      <c r="X20" s="81">
        <f>ROUND(I35,0)</f>
        <v>718124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55</v>
      </c>
      <c r="AL20" s="46" t="s">
        <v>274</v>
      </c>
      <c r="AM20" s="53"/>
      <c r="AN20" s="54"/>
      <c r="AO20" s="68">
        <f>AP20+AQ20+AR20+AS20</f>
        <v>14822</v>
      </c>
      <c r="AP20" s="68"/>
      <c r="AQ20" s="71"/>
      <c r="AR20" s="68">
        <v>14822</v>
      </c>
      <c r="AS20" s="71"/>
      <c r="AT20" s="51" t="s">
        <v>213</v>
      </c>
      <c r="AU20" s="51"/>
      <c r="AV20" s="51"/>
      <c r="AW20" s="51"/>
      <c r="AX20" s="51"/>
      <c r="AY20" s="52"/>
      <c r="AZ20" s="170"/>
      <c r="BA20" s="180"/>
      <c r="BB20" s="169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.75">
      <c r="A21" s="44" t="s">
        <v>254</v>
      </c>
      <c r="B21" s="55" t="s">
        <v>257</v>
      </c>
      <c r="C21" s="53"/>
      <c r="D21" s="55"/>
      <c r="E21" s="55"/>
      <c r="F21" s="107"/>
      <c r="G21" s="55"/>
      <c r="H21" s="56"/>
      <c r="I21" s="60"/>
      <c r="J21" s="48" t="s">
        <v>113</v>
      </c>
      <c r="K21" s="48" t="s">
        <v>176</v>
      </c>
      <c r="L21" s="225">
        <v>122848480</v>
      </c>
      <c r="M21" s="224">
        <v>539</v>
      </c>
      <c r="N21" s="224">
        <v>558</v>
      </c>
      <c r="O21" s="57">
        <v>20</v>
      </c>
      <c r="P21" s="223">
        <f>N21-M21</f>
        <v>19</v>
      </c>
      <c r="Q21" s="151"/>
      <c r="R21" s="60">
        <f>O21*P21+Q21</f>
        <v>380</v>
      </c>
      <c r="S21" s="61" t="s">
        <v>62</v>
      </c>
      <c r="T21" s="63" t="s">
        <v>32</v>
      </c>
      <c r="U21" s="64"/>
      <c r="V21" s="64"/>
      <c r="W21" s="67">
        <f t="shared" si="0"/>
        <v>208744</v>
      </c>
      <c r="X21" s="81">
        <f>ROUND(I37,0)</f>
        <v>208744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.75">
      <c r="A22" s="44" t="s">
        <v>255</v>
      </c>
      <c r="B22" s="45" t="s">
        <v>258</v>
      </c>
      <c r="C22" s="55"/>
      <c r="D22" s="55"/>
      <c r="E22" s="55"/>
      <c r="F22" s="55"/>
      <c r="G22" s="55"/>
      <c r="H22" s="56"/>
      <c r="I22" s="170">
        <v>78120</v>
      </c>
      <c r="J22" s="49"/>
      <c r="K22" s="49" t="s">
        <v>175</v>
      </c>
      <c r="L22" s="225">
        <v>122848480</v>
      </c>
      <c r="M22" s="224">
        <v>148</v>
      </c>
      <c r="N22" s="224">
        <v>151</v>
      </c>
      <c r="O22" s="57">
        <v>20</v>
      </c>
      <c r="P22" s="223">
        <f>N22-M22</f>
        <v>3</v>
      </c>
      <c r="Q22" s="151"/>
      <c r="R22" s="60">
        <f>O22*P22+Q22</f>
        <v>60</v>
      </c>
      <c r="S22" s="61" t="s">
        <v>63</v>
      </c>
      <c r="T22" s="63" t="s">
        <v>33</v>
      </c>
      <c r="U22" s="64"/>
      <c r="V22" s="64"/>
      <c r="W22" s="67">
        <f t="shared" si="0"/>
        <v>752280</v>
      </c>
      <c r="X22" s="81">
        <f>ROUND(I39,0)</f>
        <v>752280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161</v>
      </c>
      <c r="Q23" s="137"/>
      <c r="R23" s="60">
        <f>R19+R21+R22+R20</f>
        <v>730</v>
      </c>
      <c r="S23" s="61" t="s">
        <v>64</v>
      </c>
      <c r="T23" s="63" t="s">
        <v>34</v>
      </c>
      <c r="U23" s="64"/>
      <c r="V23" s="64"/>
      <c r="W23" s="67">
        <f t="shared" si="0"/>
        <v>935358</v>
      </c>
      <c r="X23" s="81">
        <v>0</v>
      </c>
      <c r="Y23" s="70">
        <v>0</v>
      </c>
      <c r="Z23" s="67">
        <f>I26+I25</f>
        <v>935358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.75">
      <c r="A24" s="44" t="s">
        <v>113</v>
      </c>
      <c r="B24" s="46" t="s">
        <v>114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65</v>
      </c>
      <c r="T24" s="64" t="s">
        <v>35</v>
      </c>
      <c r="U24" s="64"/>
      <c r="V24" s="64"/>
      <c r="W24" s="67">
        <f t="shared" si="0"/>
        <v>33805</v>
      </c>
      <c r="X24" s="81">
        <v>0</v>
      </c>
      <c r="Y24" s="70">
        <v>0</v>
      </c>
      <c r="Z24" s="67">
        <f>I41</f>
        <v>33805</v>
      </c>
      <c r="AA24" s="70">
        <v>0</v>
      </c>
      <c r="AB24" s="58"/>
      <c r="AC24" s="47" t="s">
        <v>84</v>
      </c>
      <c r="AD24" s="47"/>
      <c r="AE24" s="47"/>
      <c r="AF24" s="59"/>
      <c r="AG24" s="59"/>
      <c r="AH24" s="59"/>
      <c r="AI24" s="59"/>
      <c r="AJ24" s="59"/>
      <c r="AK24" s="58"/>
      <c r="AL24" s="47" t="s">
        <v>164</v>
      </c>
      <c r="AM24" s="47"/>
      <c r="AN24" s="47"/>
      <c r="AO24" s="59"/>
      <c r="AP24" s="59"/>
      <c r="AQ24" s="59"/>
      <c r="AR24" s="59"/>
      <c r="AS24" s="59"/>
      <c r="AT24" s="152" t="s">
        <v>42</v>
      </c>
      <c r="AU24" s="135"/>
      <c r="AV24" s="135"/>
      <c r="AW24" s="135"/>
      <c r="AX24" s="135"/>
      <c r="AY24" s="153"/>
      <c r="AZ24" s="184"/>
      <c r="BA24" s="177"/>
      <c r="BB24" s="174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.75">
      <c r="A25" s="48" t="s">
        <v>115</v>
      </c>
      <c r="B25" s="48" t="s">
        <v>118</v>
      </c>
      <c r="C25" s="90"/>
      <c r="D25" s="212"/>
      <c r="E25" s="212"/>
      <c r="F25" s="68"/>
      <c r="G25" s="213"/>
      <c r="H25" s="68"/>
      <c r="I25" s="68"/>
      <c r="J25" s="63" t="s">
        <v>162</v>
      </c>
      <c r="K25" s="64"/>
      <c r="L25" s="64"/>
      <c r="M25" s="64"/>
      <c r="N25" s="64"/>
      <c r="O25" s="64"/>
      <c r="P25" s="85"/>
      <c r="Q25" s="128"/>
      <c r="R25" s="141"/>
      <c r="S25" s="61" t="s">
        <v>66</v>
      </c>
      <c r="T25" s="64" t="s">
        <v>36</v>
      </c>
      <c r="U25" s="64"/>
      <c r="V25" s="64"/>
      <c r="W25" s="67">
        <f t="shared" si="0"/>
        <v>195997</v>
      </c>
      <c r="X25" s="81">
        <v>0</v>
      </c>
      <c r="Y25" s="70">
        <v>0</v>
      </c>
      <c r="Z25" s="67">
        <f>I43</f>
        <v>195997</v>
      </c>
      <c r="AA25" s="70">
        <v>0</v>
      </c>
      <c r="AB25" s="58"/>
      <c r="AC25" s="47" t="s">
        <v>265</v>
      </c>
      <c r="AD25" s="47"/>
      <c r="AE25" s="47"/>
      <c r="AF25" s="47"/>
      <c r="AG25" s="47"/>
      <c r="AH25" s="47"/>
      <c r="AI25" s="47"/>
      <c r="AJ25" s="47"/>
      <c r="AK25" s="58"/>
      <c r="AL25" s="47" t="s">
        <v>265</v>
      </c>
      <c r="AM25" s="47"/>
      <c r="AN25" s="47"/>
      <c r="AO25" s="47"/>
      <c r="AP25" s="47"/>
      <c r="AQ25" s="47"/>
      <c r="AR25" s="47"/>
      <c r="AS25" s="47"/>
      <c r="AT25" s="46" t="s">
        <v>79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.75">
      <c r="A26" s="49"/>
      <c r="B26" s="49" t="s">
        <v>116</v>
      </c>
      <c r="C26" s="91">
        <v>109056121</v>
      </c>
      <c r="D26" s="212">
        <v>21907.9202</v>
      </c>
      <c r="E26" s="212">
        <v>22102.7864</v>
      </c>
      <c r="F26" s="68">
        <v>4800</v>
      </c>
      <c r="G26" s="213">
        <f aca="true" t="shared" si="1" ref="G26:G43">E26-D26</f>
        <v>194.8662000000004</v>
      </c>
      <c r="H26" s="68"/>
      <c r="I26" s="68">
        <f>ROUND(F26*G26+H26,0)</f>
        <v>935358</v>
      </c>
      <c r="J26" s="114" t="s">
        <v>285</v>
      </c>
      <c r="K26" s="115"/>
      <c r="L26" s="115"/>
      <c r="M26" s="86"/>
      <c r="N26" s="53"/>
      <c r="O26" s="53"/>
      <c r="P26" s="53"/>
      <c r="Q26" s="53"/>
      <c r="R26" s="102"/>
      <c r="S26" s="62" t="s">
        <v>67</v>
      </c>
      <c r="T26" s="53" t="s">
        <v>37</v>
      </c>
      <c r="U26" s="53"/>
      <c r="V26" s="53"/>
      <c r="W26" s="68">
        <f>SUM(X26:AA26)</f>
        <v>37966</v>
      </c>
      <c r="X26" s="82">
        <v>0</v>
      </c>
      <c r="Y26" s="71">
        <v>0</v>
      </c>
      <c r="Z26" s="68">
        <f>I45+I46</f>
        <v>37966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80</v>
      </c>
      <c r="AU26" s="55"/>
      <c r="AV26" s="55"/>
      <c r="AW26" s="55"/>
      <c r="AX26" s="64"/>
      <c r="AY26" s="65"/>
      <c r="AZ26" s="185">
        <f>(X14+AG14+AP14)/1000</f>
        <v>6249.734</v>
      </c>
      <c r="BA26" s="169">
        <v>16</v>
      </c>
      <c r="BB26" s="174">
        <f>AZ26*BA26</f>
        <v>99995.744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.75">
      <c r="A27" s="48" t="s">
        <v>117</v>
      </c>
      <c r="B27" s="48" t="s">
        <v>129</v>
      </c>
      <c r="C27" s="90">
        <v>623125232</v>
      </c>
      <c r="D27" s="214">
        <v>9240.7087</v>
      </c>
      <c r="E27" s="214">
        <v>9329.3744</v>
      </c>
      <c r="F27" s="75">
        <v>1800</v>
      </c>
      <c r="G27" s="215">
        <f t="shared" si="1"/>
        <v>88.66570000000138</v>
      </c>
      <c r="H27" s="73"/>
      <c r="I27" s="75">
        <f>ROUND(G27*F27,0)</f>
        <v>159598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81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.75">
      <c r="A28" s="49"/>
      <c r="B28" s="49" t="s">
        <v>116</v>
      </c>
      <c r="C28" s="71"/>
      <c r="D28" s="119"/>
      <c r="E28" s="119"/>
      <c r="F28" s="68"/>
      <c r="G28" s="118"/>
      <c r="H28" s="71"/>
      <c r="I28" s="68"/>
      <c r="J28" s="64" t="s">
        <v>165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219</v>
      </c>
      <c r="AC28" s="47"/>
      <c r="AD28" s="47"/>
      <c r="AE28" s="47"/>
      <c r="AF28" s="47"/>
      <c r="AG28" s="47" t="s">
        <v>220</v>
      </c>
      <c r="AH28" s="47"/>
      <c r="AI28" s="47" t="s">
        <v>221</v>
      </c>
      <c r="AJ28" s="47"/>
      <c r="AK28" s="47" t="s">
        <v>219</v>
      </c>
      <c r="AL28" s="47"/>
      <c r="AM28" s="47"/>
      <c r="AN28" s="47"/>
      <c r="AO28" s="47"/>
      <c r="AP28" s="47" t="s">
        <v>53</v>
      </c>
      <c r="AQ28" s="47"/>
      <c r="AR28" s="47" t="s">
        <v>54</v>
      </c>
      <c r="AS28" s="47"/>
      <c r="AT28" s="63" t="s">
        <v>82</v>
      </c>
      <c r="AU28" s="64"/>
      <c r="AV28" s="64"/>
      <c r="AW28" s="64"/>
      <c r="AX28" s="51"/>
      <c r="AY28" s="52"/>
      <c r="AZ28" s="185">
        <f>(Z14+AI14+AR14)/1000</f>
        <v>1294.275</v>
      </c>
      <c r="BA28" s="169">
        <v>16</v>
      </c>
      <c r="BB28" s="174">
        <f>AZ28*BA28</f>
        <v>20708.4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.75">
      <c r="A29" s="48" t="s">
        <v>119</v>
      </c>
      <c r="B29" s="48" t="s">
        <v>130</v>
      </c>
      <c r="C29" s="90">
        <v>623125667</v>
      </c>
      <c r="D29" s="214">
        <v>11581.2405</v>
      </c>
      <c r="E29" s="214">
        <v>11771.9337</v>
      </c>
      <c r="F29" s="75">
        <v>1800</v>
      </c>
      <c r="G29" s="215">
        <f t="shared" si="1"/>
        <v>190.6931999999997</v>
      </c>
      <c r="H29" s="73"/>
      <c r="I29" s="75">
        <f>ROUND(G29*F29,0)</f>
        <v>343248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286</v>
      </c>
      <c r="AC29" s="47"/>
      <c r="AD29" s="47"/>
      <c r="AE29" s="47"/>
      <c r="AF29" s="47"/>
      <c r="AG29" s="47" t="s">
        <v>52</v>
      </c>
      <c r="AH29" s="47"/>
      <c r="AI29" s="47"/>
      <c r="AJ29" s="47"/>
      <c r="AK29" s="47" t="s">
        <v>286</v>
      </c>
      <c r="AL29" s="47"/>
      <c r="AM29" s="47"/>
      <c r="AN29" s="47"/>
      <c r="AO29" s="47"/>
      <c r="AP29" s="47" t="s">
        <v>52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.75">
      <c r="A30" s="49"/>
      <c r="B30" s="49" t="s">
        <v>116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.75">
      <c r="A31" s="48" t="s">
        <v>120</v>
      </c>
      <c r="B31" s="48" t="s">
        <v>131</v>
      </c>
      <c r="C31" s="90">
        <v>623126370</v>
      </c>
      <c r="D31" s="214">
        <v>3065.8395</v>
      </c>
      <c r="E31" s="214">
        <v>3116.1875</v>
      </c>
      <c r="F31" s="75">
        <v>4800</v>
      </c>
      <c r="G31" s="215">
        <f t="shared" si="1"/>
        <v>50.347999999999956</v>
      </c>
      <c r="H31" s="73"/>
      <c r="I31" s="233">
        <f>ROUND(G31*F31,0)+1</f>
        <v>241671</v>
      </c>
      <c r="J31" s="64"/>
      <c r="K31" s="64"/>
      <c r="L31" s="154"/>
      <c r="M31" s="78"/>
      <c r="N31" s="155" t="s">
        <v>166</v>
      </c>
      <c r="O31" s="155"/>
      <c r="P31" s="83"/>
      <c r="Q31" s="64"/>
      <c r="R31" s="85"/>
      <c r="S31" s="47" t="s">
        <v>219</v>
      </c>
      <c r="T31" s="47"/>
      <c r="U31" s="47"/>
      <c r="V31" s="47"/>
      <c r="W31" s="47"/>
      <c r="X31" s="47" t="s">
        <v>220</v>
      </c>
      <c r="Y31" s="47"/>
      <c r="Z31" s="47" t="s">
        <v>221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.75">
      <c r="A32" s="49"/>
      <c r="B32" s="49" t="s">
        <v>116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261</v>
      </c>
      <c r="O32" s="155"/>
      <c r="P32" s="83"/>
      <c r="Q32" s="64"/>
      <c r="R32" s="85"/>
      <c r="S32" s="47" t="s">
        <v>286</v>
      </c>
      <c r="T32" s="47"/>
      <c r="U32" s="47"/>
      <c r="V32" s="47"/>
      <c r="W32" s="47"/>
      <c r="X32" s="47" t="s">
        <v>52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217</v>
      </c>
      <c r="AU32" s="51"/>
      <c r="AV32" s="51"/>
      <c r="AW32" s="51"/>
      <c r="AX32" s="51"/>
      <c r="AY32" s="52"/>
      <c r="AZ32" s="170"/>
      <c r="BA32" s="187"/>
      <c r="BB32" s="169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.75">
      <c r="A33" s="48" t="s">
        <v>121</v>
      </c>
      <c r="B33" s="48" t="s">
        <v>132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286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51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215</v>
      </c>
      <c r="AU33" s="51"/>
      <c r="AV33" s="51"/>
      <c r="AW33" s="51"/>
      <c r="AX33" s="51"/>
      <c r="AY33" s="52"/>
      <c r="AZ33" s="170"/>
      <c r="BA33" s="177"/>
      <c r="BB33" s="169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.75">
      <c r="A34" s="49"/>
      <c r="B34" s="49" t="s">
        <v>116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51</v>
      </c>
      <c r="AL34" s="47"/>
      <c r="AM34" s="47"/>
      <c r="AN34" s="47"/>
      <c r="AO34" s="47"/>
      <c r="AP34" s="47"/>
      <c r="AQ34" s="47"/>
      <c r="AR34" s="47"/>
      <c r="AS34" s="47"/>
      <c r="AT34" s="50" t="s">
        <v>218</v>
      </c>
      <c r="AU34" s="51"/>
      <c r="AV34" s="51"/>
      <c r="AW34" s="51"/>
      <c r="AX34" s="51"/>
      <c r="AY34" s="52"/>
      <c r="AZ34" s="170"/>
      <c r="BA34" s="182"/>
      <c r="BB34" s="169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.75">
      <c r="A35" s="48" t="s">
        <v>122</v>
      </c>
      <c r="B35" s="48" t="s">
        <v>133</v>
      </c>
      <c r="C35" s="90">
        <v>623125142</v>
      </c>
      <c r="D35" s="214">
        <v>15137.44</v>
      </c>
      <c r="E35" s="214">
        <v>15436.6586</v>
      </c>
      <c r="F35" s="75">
        <v>2400</v>
      </c>
      <c r="G35" s="215">
        <f t="shared" si="1"/>
        <v>299.21860000000015</v>
      </c>
      <c r="H35" s="73"/>
      <c r="I35" s="233">
        <f>ROUND(G35*F35,0)-1</f>
        <v>718124</v>
      </c>
      <c r="J35" s="64"/>
      <c r="K35" s="64"/>
      <c r="L35" s="154"/>
      <c r="M35" s="78"/>
      <c r="N35" s="156" t="s">
        <v>168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68</v>
      </c>
      <c r="AC35" s="47"/>
      <c r="AD35" s="47"/>
      <c r="AE35" s="47"/>
      <c r="AF35" s="47"/>
      <c r="AG35" s="47" t="s">
        <v>39</v>
      </c>
      <c r="AH35" s="47"/>
      <c r="AI35" s="47" t="s">
        <v>38</v>
      </c>
      <c r="AJ35" s="47"/>
      <c r="AK35" s="47" t="s">
        <v>222</v>
      </c>
      <c r="AL35" s="47"/>
      <c r="AM35" s="47"/>
      <c r="AN35" s="47"/>
      <c r="AO35" s="47"/>
      <c r="AP35" s="47"/>
      <c r="AQ35" s="47" t="s">
        <v>223</v>
      </c>
      <c r="AR35" s="47"/>
      <c r="AS35" s="47"/>
      <c r="AT35" s="50" t="s">
        <v>215</v>
      </c>
      <c r="AU35" s="51"/>
      <c r="AV35" s="51"/>
      <c r="AW35" s="51"/>
      <c r="AX35" s="51"/>
      <c r="AY35" s="52"/>
      <c r="AZ35" s="170"/>
      <c r="BA35" s="182"/>
      <c r="BB35" s="169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.75">
      <c r="A36" s="49"/>
      <c r="B36" s="49" t="s">
        <v>116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167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83</v>
      </c>
      <c r="AC36" s="47"/>
      <c r="AD36" s="47"/>
      <c r="AE36" s="47"/>
      <c r="AF36" s="47"/>
      <c r="AG36" s="47" t="s">
        <v>52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52</v>
      </c>
      <c r="AR36" s="47"/>
      <c r="AS36" s="47"/>
      <c r="AT36" s="50" t="s">
        <v>215</v>
      </c>
      <c r="AU36" s="51"/>
      <c r="AV36" s="51"/>
      <c r="AW36" s="51"/>
      <c r="AX36" s="51"/>
      <c r="AY36" s="52"/>
      <c r="AZ36" s="170"/>
      <c r="BA36" s="182"/>
      <c r="BB36" s="169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.75">
      <c r="A37" s="48" t="s">
        <v>123</v>
      </c>
      <c r="B37" s="48" t="s">
        <v>134</v>
      </c>
      <c r="C37" s="90">
        <v>623125205</v>
      </c>
      <c r="D37" s="214">
        <v>5525.6932</v>
      </c>
      <c r="E37" s="214">
        <v>5641.6621</v>
      </c>
      <c r="F37" s="75">
        <v>1800</v>
      </c>
      <c r="G37" s="215">
        <f t="shared" si="1"/>
        <v>115.96889999999985</v>
      </c>
      <c r="H37" s="73"/>
      <c r="I37" s="75">
        <f>ROUND(G37*F37,0)</f>
        <v>208744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281</v>
      </c>
      <c r="T37" s="47"/>
      <c r="U37" s="47"/>
      <c r="V37" s="47"/>
      <c r="W37" s="47"/>
      <c r="X37" s="47" t="s">
        <v>220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182</v>
      </c>
      <c r="AU37" s="51"/>
      <c r="AV37" s="51"/>
      <c r="AW37" s="51"/>
      <c r="AX37" s="51"/>
      <c r="AY37" s="52"/>
      <c r="AZ37" s="170"/>
      <c r="BA37" s="177"/>
      <c r="BB37" s="169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.75">
      <c r="A38" s="49"/>
      <c r="B38" s="49" t="s">
        <v>116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52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215</v>
      </c>
      <c r="AU38" s="51"/>
      <c r="AV38" s="51" t="s">
        <v>23</v>
      </c>
      <c r="AW38" s="51"/>
      <c r="AX38" s="51"/>
      <c r="AY38" s="52"/>
      <c r="AZ38" s="170"/>
      <c r="BA38" s="182"/>
      <c r="BB38" s="169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.75">
      <c r="A39" s="48" t="s">
        <v>124</v>
      </c>
      <c r="B39" s="48" t="s">
        <v>135</v>
      </c>
      <c r="C39" s="90">
        <v>623123704</v>
      </c>
      <c r="D39" s="214">
        <v>9541.1426</v>
      </c>
      <c r="E39" s="214">
        <v>9959.0758</v>
      </c>
      <c r="F39" s="75">
        <v>1800</v>
      </c>
      <c r="G39" s="215">
        <f t="shared" si="1"/>
        <v>417.9332000000013</v>
      </c>
      <c r="H39" s="73"/>
      <c r="I39" s="75">
        <f>ROUND(G39*F39,0)</f>
        <v>752280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216</v>
      </c>
      <c r="AU39" s="51"/>
      <c r="AV39" s="51" t="s">
        <v>213</v>
      </c>
      <c r="AW39" s="51"/>
      <c r="AX39" s="51"/>
      <c r="AY39" s="52"/>
      <c r="AZ39" s="170"/>
      <c r="BA39" s="182"/>
      <c r="BB39" s="169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.75">
      <c r="A40" s="49"/>
      <c r="B40" s="49" t="s">
        <v>116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.75">
      <c r="A41" s="48" t="s">
        <v>125</v>
      </c>
      <c r="B41" s="48" t="s">
        <v>136</v>
      </c>
      <c r="C41" s="90">
        <v>623125794</v>
      </c>
      <c r="D41" s="214">
        <v>213.2032</v>
      </c>
      <c r="E41" s="214">
        <v>231.9842</v>
      </c>
      <c r="F41" s="75">
        <v>1800</v>
      </c>
      <c r="G41" s="215">
        <f t="shared" si="1"/>
        <v>18.780999999999977</v>
      </c>
      <c r="H41" s="73"/>
      <c r="I41" s="233">
        <f>ROUND(G41*F41,0)-1</f>
        <v>33805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.75">
      <c r="A42" s="49"/>
      <c r="B42" s="49" t="s">
        <v>116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.75">
      <c r="A43" s="48" t="s">
        <v>126</v>
      </c>
      <c r="B43" s="48" t="s">
        <v>137</v>
      </c>
      <c r="C43" s="90">
        <v>623125736</v>
      </c>
      <c r="D43" s="214">
        <v>4940.4842</v>
      </c>
      <c r="E43" s="214">
        <v>5103.8156</v>
      </c>
      <c r="F43" s="75">
        <v>1200</v>
      </c>
      <c r="G43" s="215">
        <f t="shared" si="1"/>
        <v>163.33140000000003</v>
      </c>
      <c r="H43" s="73"/>
      <c r="I43" s="233">
        <f>ROUND(G43*F43,0)-1</f>
        <v>195997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182</v>
      </c>
      <c r="AU43" s="51"/>
      <c r="AV43" s="51"/>
      <c r="AW43" s="51"/>
      <c r="AX43" s="51"/>
      <c r="AY43" s="52"/>
      <c r="AZ43" s="170"/>
      <c r="BA43" s="182"/>
      <c r="BB43" s="169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.75">
      <c r="A44" s="49"/>
      <c r="B44" s="49" t="s">
        <v>116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.75">
      <c r="A45" s="48" t="s">
        <v>127</v>
      </c>
      <c r="B45" s="50" t="s">
        <v>128</v>
      </c>
      <c r="C45" s="90">
        <v>1110171156</v>
      </c>
      <c r="D45" s="214">
        <v>15848.114</v>
      </c>
      <c r="E45" s="214">
        <v>16797.2544</v>
      </c>
      <c r="F45" s="75">
        <v>40</v>
      </c>
      <c r="G45" s="215">
        <f>E45-D45</f>
        <v>949.140400000002</v>
      </c>
      <c r="H45" s="73"/>
      <c r="I45" s="75">
        <f>ROUND(G45*F45,0)</f>
        <v>37966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.75">
      <c r="A46" s="49"/>
      <c r="B46" s="46" t="s">
        <v>116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186</v>
      </c>
      <c r="AW46" s="51"/>
      <c r="AX46" s="51"/>
      <c r="AY46" s="52"/>
      <c r="AZ46" s="170"/>
      <c r="BA46" s="187"/>
      <c r="BB46" s="169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.75">
      <c r="A47" s="94"/>
      <c r="B47" s="55"/>
      <c r="C47" s="86"/>
      <c r="D47" s="92"/>
      <c r="E47" s="93"/>
      <c r="F47" s="93"/>
      <c r="G47" s="108" t="s">
        <v>138</v>
      </c>
      <c r="H47" s="56"/>
      <c r="I47" s="125">
        <f>ROUND((SUM(I25:I46)+I20),0)</f>
        <v>7267983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.75">
      <c r="A48" s="48" t="s">
        <v>141</v>
      </c>
      <c r="B48" s="50" t="s">
        <v>139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.75">
      <c r="A49" s="74"/>
      <c r="B49" s="63" t="s">
        <v>140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186</v>
      </c>
      <c r="AW49" s="51"/>
      <c r="AX49" s="51"/>
      <c r="AY49" s="52"/>
      <c r="AZ49" s="170"/>
      <c r="BA49" s="182"/>
      <c r="BB49" s="169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.75">
      <c r="A50" s="50" t="s">
        <v>142</v>
      </c>
      <c r="B50" s="48" t="s">
        <v>230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266</v>
      </c>
      <c r="AW50" s="55"/>
      <c r="AX50" s="55"/>
      <c r="AY50" s="56"/>
      <c r="AZ50" s="170"/>
      <c r="BA50" s="182"/>
      <c r="BB50" s="169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.75">
      <c r="A51" s="63"/>
      <c r="B51" s="74"/>
      <c r="C51" s="194">
        <v>611127627</v>
      </c>
      <c r="D51" s="191">
        <v>6392.6036</v>
      </c>
      <c r="E51" s="191">
        <v>6433.2412</v>
      </c>
      <c r="F51" s="60">
        <v>40</v>
      </c>
      <c r="G51" s="142">
        <f>E51-D51</f>
        <v>40.63760000000002</v>
      </c>
      <c r="H51" s="60"/>
      <c r="I51" s="60">
        <f>ROUND(F51*G51+H51,0)</f>
        <v>1626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.75">
      <c r="A52" s="63"/>
      <c r="B52" s="49" t="s">
        <v>226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.75">
      <c r="A53" s="48" t="s">
        <v>145</v>
      </c>
      <c r="B53" s="65"/>
      <c r="C53" s="106">
        <v>810120245</v>
      </c>
      <c r="D53" s="191">
        <v>3787.8249</v>
      </c>
      <c r="E53" s="191">
        <v>3796.3542</v>
      </c>
      <c r="F53" s="60">
        <v>3600</v>
      </c>
      <c r="G53" s="142">
        <f>E53-D53</f>
        <v>8.529300000000148</v>
      </c>
      <c r="H53" s="60"/>
      <c r="I53" s="60">
        <f>ROUND(F53*G53+H53,0)</f>
        <v>30705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295</v>
      </c>
      <c r="AU53" s="47"/>
      <c r="AV53" s="47"/>
      <c r="AW53" s="47"/>
      <c r="AX53" s="47"/>
      <c r="AY53" s="47"/>
      <c r="AZ53" s="47"/>
      <c r="BA53" s="47"/>
      <c r="BB53" s="47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.75">
      <c r="A54" s="74"/>
      <c r="B54" s="65" t="s">
        <v>240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.75">
      <c r="A55" s="74"/>
      <c r="B55" s="65"/>
      <c r="C55" s="103">
        <v>4050284</v>
      </c>
      <c r="D55" s="121">
        <v>4477.0814</v>
      </c>
      <c r="E55" s="121">
        <v>4519.9157</v>
      </c>
      <c r="F55" s="60">
        <v>3600</v>
      </c>
      <c r="G55" s="143">
        <f>E55-D55</f>
        <v>42.83429999999953</v>
      </c>
      <c r="H55" s="44"/>
      <c r="I55" s="232">
        <f>ROUND(F55*G55+H55,0)+1</f>
        <v>154204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.75">
      <c r="A57" s="74" t="s">
        <v>146</v>
      </c>
      <c r="B57" s="48" t="s">
        <v>112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.75">
      <c r="A58" s="196"/>
      <c r="B58" s="74" t="s">
        <v>111</v>
      </c>
      <c r="C58" s="194">
        <v>611127492</v>
      </c>
      <c r="D58" s="191">
        <v>22001.1852</v>
      </c>
      <c r="E58" s="191">
        <v>22387.8612</v>
      </c>
      <c r="F58" s="60">
        <v>20</v>
      </c>
      <c r="G58" s="142">
        <f>E58-D58</f>
        <v>386.6759999999995</v>
      </c>
      <c r="H58" s="60"/>
      <c r="I58" s="60">
        <f>ROUND(F58*G58+H58,0)</f>
        <v>7734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46</v>
      </c>
      <c r="AW58" s="47"/>
      <c r="AX58" s="47"/>
      <c r="AY58" s="47"/>
      <c r="AZ58" s="47"/>
      <c r="BA58" s="47"/>
      <c r="BB58" s="162">
        <f>BA9</f>
        <v>3.912419873263983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.75">
      <c r="A59" s="50" t="s">
        <v>147</v>
      </c>
      <c r="B59" s="48" t="s">
        <v>231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.75">
      <c r="A60" s="197"/>
      <c r="B60" s="70" t="s">
        <v>276</v>
      </c>
      <c r="C60" s="194">
        <v>611127702</v>
      </c>
      <c r="D60" s="191">
        <v>32773.7248</v>
      </c>
      <c r="E60" s="191">
        <v>32973.3996</v>
      </c>
      <c r="F60" s="60">
        <v>60</v>
      </c>
      <c r="G60" s="142">
        <f>E60-D60</f>
        <v>199.6747999999934</v>
      </c>
      <c r="H60" s="44"/>
      <c r="I60" s="232">
        <f>ROUND(F60*G60+H60,0)+1</f>
        <v>11981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3.5">
      <c r="A61" s="63"/>
      <c r="B61" s="70" t="s">
        <v>277</v>
      </c>
      <c r="C61" s="194">
        <v>611127555</v>
      </c>
      <c r="D61" s="191">
        <v>12791.754</v>
      </c>
      <c r="E61" s="191">
        <v>13652.6292</v>
      </c>
      <c r="F61" s="60">
        <v>60</v>
      </c>
      <c r="G61" s="142">
        <f>E61-D61</f>
        <v>860.8751999999986</v>
      </c>
      <c r="H61" s="44"/>
      <c r="I61" s="232">
        <f>ROUND(F61*G61+H61,0)-1</f>
        <v>51652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.75">
      <c r="A62" s="50" t="s">
        <v>148</v>
      </c>
      <c r="B62" s="48" t="s">
        <v>232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.75">
      <c r="A63" s="197"/>
      <c r="B63" s="74"/>
      <c r="C63" s="194">
        <v>1110171163</v>
      </c>
      <c r="D63" s="191">
        <v>1311.4876</v>
      </c>
      <c r="E63" s="191">
        <v>1348.5596</v>
      </c>
      <c r="F63" s="60">
        <v>60</v>
      </c>
      <c r="G63" s="142">
        <f>E63-D63</f>
        <v>37.072000000000116</v>
      </c>
      <c r="H63" s="44"/>
      <c r="I63" s="60">
        <f>ROUND(F63*G63+H63,0)</f>
        <v>2224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.75">
      <c r="A65" s="50" t="s">
        <v>149</v>
      </c>
      <c r="B65" s="48" t="s">
        <v>233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.75">
      <c r="A66" s="63"/>
      <c r="B66" s="74"/>
      <c r="C66" s="194">
        <v>1110171170</v>
      </c>
      <c r="D66" s="191">
        <v>204.032</v>
      </c>
      <c r="E66" s="191">
        <v>209.7008</v>
      </c>
      <c r="F66" s="60">
        <v>40</v>
      </c>
      <c r="G66" s="142">
        <f>E66-D66</f>
        <v>5.668799999999976</v>
      </c>
      <c r="H66" s="60"/>
      <c r="I66" s="60">
        <f>ROUND(F66*G66+H66,0)</f>
        <v>227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.75">
      <c r="A68" s="50" t="s">
        <v>150</v>
      </c>
      <c r="B68" s="48" t="s">
        <v>278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3.5">
      <c r="A69" s="63"/>
      <c r="B69" s="74" t="s">
        <v>279</v>
      </c>
      <c r="C69" s="194">
        <v>611126404</v>
      </c>
      <c r="D69" s="191">
        <v>613.8931</v>
      </c>
      <c r="E69" s="191">
        <v>622.6223</v>
      </c>
      <c r="F69" s="60">
        <v>1800</v>
      </c>
      <c r="G69" s="142">
        <f>E69-D69</f>
        <v>8.729199999999992</v>
      </c>
      <c r="H69" s="60"/>
      <c r="I69" s="232">
        <f>ROUND((F69*G69+H69),0)-1</f>
        <v>15712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.75">
      <c r="A70" s="46"/>
      <c r="B70" s="49" t="s">
        <v>242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.75">
      <c r="A71" s="63" t="s">
        <v>228</v>
      </c>
      <c r="B71" s="74" t="s">
        <v>234</v>
      </c>
      <c r="C71" s="194">
        <v>611127724</v>
      </c>
      <c r="D71" s="191">
        <v>2024.2372</v>
      </c>
      <c r="E71" s="191">
        <v>2053.69</v>
      </c>
      <c r="F71" s="60">
        <v>30</v>
      </c>
      <c r="G71" s="142">
        <f>E71-D71</f>
        <v>29.452800000000025</v>
      </c>
      <c r="H71" s="60"/>
      <c r="I71" s="60">
        <f>ROUND(F71*G71+H71,0)</f>
        <v>884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.75">
      <c r="A72" s="46"/>
      <c r="B72" s="74" t="s">
        <v>272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.75">
      <c r="A74" s="46"/>
      <c r="B74" s="53"/>
      <c r="C74" s="55"/>
      <c r="D74" s="55"/>
      <c r="E74" s="55"/>
      <c r="F74" s="55" t="s">
        <v>151</v>
      </c>
      <c r="G74" s="55"/>
      <c r="H74" s="56"/>
      <c r="I74" s="125">
        <f>ROUND((SUM(I50:I69)-I73),0)</f>
        <v>276065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.75">
      <c r="A75" s="45"/>
      <c r="B75" s="55"/>
      <c r="C75" s="55"/>
      <c r="D75" s="55"/>
      <c r="E75" s="55"/>
      <c r="F75" s="55"/>
      <c r="G75" s="55" t="s">
        <v>152</v>
      </c>
      <c r="H75" s="56"/>
      <c r="I75" s="125">
        <f>ROUND((I18+I20-I47-I74),0)</f>
        <v>5903418</v>
      </c>
      <c r="J75" s="64"/>
      <c r="K75" s="64">
        <f>I18+I20+I22-I47-I74</f>
        <v>5981538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.75">
      <c r="A76" s="44" t="s">
        <v>159</v>
      </c>
      <c r="B76" s="45" t="s">
        <v>153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.75">
      <c r="A77" s="48" t="s">
        <v>157</v>
      </c>
      <c r="B77" s="48" t="s">
        <v>154</v>
      </c>
      <c r="C77" s="73">
        <v>18705639</v>
      </c>
      <c r="D77" s="124">
        <v>19477</v>
      </c>
      <c r="E77" s="124">
        <v>19770</v>
      </c>
      <c r="F77" s="75">
        <v>30</v>
      </c>
      <c r="G77" s="211">
        <f>E77-D77</f>
        <v>293</v>
      </c>
      <c r="H77" s="48">
        <v>1186</v>
      </c>
      <c r="I77" s="75">
        <f>F77*G77+H77</f>
        <v>9976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.75">
      <c r="A78" s="49"/>
      <c r="B78" s="49" t="s">
        <v>155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.75">
      <c r="A79" s="48" t="s">
        <v>158</v>
      </c>
      <c r="B79" s="48" t="s">
        <v>156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.75">
      <c r="A80" s="49"/>
      <c r="B80" s="49" t="s">
        <v>155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.75">
      <c r="A81" s="45"/>
      <c r="B81" s="55"/>
      <c r="C81" s="109"/>
      <c r="D81" s="92"/>
      <c r="E81" s="110"/>
      <c r="F81" s="110" t="s">
        <v>160</v>
      </c>
      <c r="G81" s="111"/>
      <c r="H81" s="56"/>
      <c r="I81" s="60">
        <f>I77+I79</f>
        <v>9976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.75">
      <c r="A82" s="45"/>
      <c r="B82" s="55"/>
      <c r="C82" s="109"/>
      <c r="D82" s="92"/>
      <c r="E82" s="110"/>
      <c r="F82" s="110"/>
      <c r="G82" s="111" t="s">
        <v>161</v>
      </c>
      <c r="H82" s="56"/>
      <c r="I82" s="125">
        <f>I75+I81</f>
        <v>5913394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.75">
      <c r="A83" s="50" t="s">
        <v>162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.75">
      <c r="A84" s="114" t="s">
        <v>285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.75">
      <c r="A85" s="64" t="s">
        <v>165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.75">
      <c r="A86" s="64"/>
      <c r="B86" s="64"/>
      <c r="C86" s="78"/>
      <c r="D86" s="202" t="s">
        <v>166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.75">
      <c r="A87" s="64"/>
      <c r="B87" s="64"/>
      <c r="C87" s="78"/>
      <c r="D87" s="202" t="s">
        <v>263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.75">
      <c r="A88" s="64"/>
      <c r="B88" s="64"/>
      <c r="C88" s="154"/>
      <c r="D88" s="202" t="s">
        <v>286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.75">
      <c r="A89" s="47"/>
      <c r="B89" s="47"/>
      <c r="C89" s="47"/>
      <c r="D89" s="47" t="s">
        <v>87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262</v>
      </c>
      <c r="AU89" s="47"/>
      <c r="AV89" s="47"/>
      <c r="AW89" s="47"/>
      <c r="AX89" s="47"/>
      <c r="AY89" s="47"/>
      <c r="AZ89" s="47"/>
      <c r="BA89" s="47"/>
      <c r="BB89" s="47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.75">
      <c r="A90" s="47"/>
      <c r="B90" s="47"/>
      <c r="C90" s="47"/>
      <c r="D90" s="47" t="s">
        <v>88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267</v>
      </c>
      <c r="AU90" s="47"/>
      <c r="AV90" s="47"/>
      <c r="AW90" s="47"/>
      <c r="AX90" s="47"/>
      <c r="AY90" s="47"/>
      <c r="AZ90" s="47"/>
      <c r="BA90" s="47"/>
      <c r="BB90" s="47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10</v>
      </c>
      <c r="AZ91" s="89" t="s">
        <v>290</v>
      </c>
      <c r="BA91" s="47"/>
      <c r="BB91" s="47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.75">
      <c r="A92" s="47"/>
      <c r="B92" s="47"/>
      <c r="C92" s="47" t="s">
        <v>89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24</v>
      </c>
      <c r="AU92" s="55"/>
      <c r="AV92" s="55"/>
      <c r="AW92" s="55"/>
      <c r="AX92" s="55"/>
      <c r="AY92" s="56"/>
      <c r="AZ92" s="44" t="s">
        <v>72</v>
      </c>
      <c r="BA92" s="44"/>
      <c r="BB92" s="44" t="s">
        <v>25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.75">
      <c r="A93" s="47"/>
      <c r="B93" s="47"/>
      <c r="C93" s="47"/>
      <c r="D93" s="167" t="s">
        <v>292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179</v>
      </c>
      <c r="AU93" s="55"/>
      <c r="AV93" s="55"/>
      <c r="AW93" s="55"/>
      <c r="AX93" s="55"/>
      <c r="AY93" s="56"/>
      <c r="AZ93" s="125">
        <v>76795</v>
      </c>
      <c r="BA93" s="92"/>
      <c r="BB93" s="188">
        <f>AZ93*BB58</f>
        <v>300454.2841673076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.75">
      <c r="A94" s="47" t="s">
        <v>260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178</v>
      </c>
      <c r="AU94" s="55"/>
      <c r="AV94" s="55"/>
      <c r="AW94" s="55"/>
      <c r="AX94" s="55"/>
      <c r="AY94" s="56"/>
      <c r="AZ94" s="125">
        <f>AZ131-SUM(AZ112:AZ120)-AZ109-AZ103-AZ96-AZ95-AZ93</f>
        <v>4342819</v>
      </c>
      <c r="BA94" s="92"/>
      <c r="BB94" s="188">
        <f>AZ94*BB58</f>
        <v>16990931.36158842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.75">
      <c r="A95" s="47" t="s">
        <v>90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269</v>
      </c>
      <c r="AU95" s="55"/>
      <c r="AV95" s="55"/>
      <c r="AW95" s="55"/>
      <c r="AX95" s="55"/>
      <c r="AY95" s="56"/>
      <c r="AZ95" s="125">
        <v>76460</v>
      </c>
      <c r="BA95" s="92"/>
      <c r="BB95" s="188">
        <f>AZ95*BB58</f>
        <v>299143.62350976415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.75">
      <c r="A96" s="47" t="s">
        <v>92</v>
      </c>
      <c r="B96" s="47"/>
      <c r="C96" s="47"/>
      <c r="D96" s="47"/>
      <c r="E96" s="47"/>
      <c r="F96" s="47" t="s">
        <v>91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15</v>
      </c>
      <c r="AU96" s="51"/>
      <c r="AV96" s="51"/>
      <c r="AW96" s="51"/>
      <c r="AX96" s="51"/>
      <c r="AY96" s="52"/>
      <c r="AZ96" s="189">
        <f>SUM(AZ97:AZ102)</f>
        <v>1040489</v>
      </c>
      <c r="BA96" s="95"/>
      <c r="BB96" s="188">
        <f>AZ96*BB58</f>
        <v>4070829.8415125688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.75">
      <c r="A97" s="48" t="s">
        <v>187</v>
      </c>
      <c r="B97" s="73" t="s">
        <v>93</v>
      </c>
      <c r="C97" s="48" t="s">
        <v>94</v>
      </c>
      <c r="D97" s="116" t="s">
        <v>169</v>
      </c>
      <c r="E97" s="117"/>
      <c r="F97" s="48" t="s">
        <v>95</v>
      </c>
      <c r="G97" s="48" t="s">
        <v>208</v>
      </c>
      <c r="H97" s="48" t="s">
        <v>96</v>
      </c>
      <c r="I97" s="48" t="s">
        <v>86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16</v>
      </c>
      <c r="AU97" s="64"/>
      <c r="AV97" s="64"/>
      <c r="AW97" s="64"/>
      <c r="AX97" s="64"/>
      <c r="AY97" s="65"/>
      <c r="AZ97" s="67">
        <v>323270</v>
      </c>
      <c r="BA97" s="78"/>
      <c r="BB97" s="188">
        <f>AZ97*BB58</f>
        <v>1264767.9724300478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.75">
      <c r="A98" s="74"/>
      <c r="B98" s="74"/>
      <c r="C98" s="74"/>
      <c r="D98" s="48" t="s">
        <v>97</v>
      </c>
      <c r="E98" s="50" t="s">
        <v>98</v>
      </c>
      <c r="F98" s="74" t="s">
        <v>99</v>
      </c>
      <c r="G98" s="74" t="s">
        <v>85</v>
      </c>
      <c r="H98" s="74"/>
      <c r="I98" s="74" t="s">
        <v>100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17</v>
      </c>
      <c r="AU98" s="64"/>
      <c r="AV98" s="64"/>
      <c r="AW98" s="64"/>
      <c r="AX98" s="64"/>
      <c r="AY98" s="65"/>
      <c r="AZ98" s="67">
        <v>591253</v>
      </c>
      <c r="BA98" s="78"/>
      <c r="BB98" s="188">
        <f>AZ98*BB58</f>
        <v>2313229.98732695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.75">
      <c r="A99" s="49"/>
      <c r="B99" s="49"/>
      <c r="C99" s="49"/>
      <c r="D99" s="49" t="s">
        <v>101</v>
      </c>
      <c r="E99" s="46" t="s">
        <v>101</v>
      </c>
      <c r="F99" s="49" t="s">
        <v>102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18</v>
      </c>
      <c r="AU99" s="64"/>
      <c r="AV99" s="64"/>
      <c r="AW99" s="64"/>
      <c r="AX99" s="64"/>
      <c r="AY99" s="65"/>
      <c r="AZ99" s="67">
        <v>121496</v>
      </c>
      <c r="BA99" s="78"/>
      <c r="BB99" s="188">
        <f>AZ99*BB58</f>
        <v>475343.3649220809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19</v>
      </c>
      <c r="AU100" s="64"/>
      <c r="AV100" s="64"/>
      <c r="AW100" s="64"/>
      <c r="AX100" s="64"/>
      <c r="AY100" s="65"/>
      <c r="AZ100" s="67">
        <v>350</v>
      </c>
      <c r="BA100" s="78"/>
      <c r="BB100" s="188">
        <f>AZ100*BB58</f>
        <v>1369.346955642394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.75">
      <c r="A101" s="46"/>
      <c r="B101" s="53"/>
      <c r="C101" s="209" t="s">
        <v>170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20</v>
      </c>
      <c r="AU101" s="64"/>
      <c r="AV101" s="64"/>
      <c r="AW101" s="64"/>
      <c r="AX101" s="64"/>
      <c r="AY101" s="65"/>
      <c r="AZ101" s="67">
        <v>3120</v>
      </c>
      <c r="BA101" s="78"/>
      <c r="BB101" s="188">
        <f>AZ101*BB58</f>
        <v>12206.750004583628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.75">
      <c r="A102" s="44"/>
      <c r="B102" s="45" t="s">
        <v>259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3912.4198732639834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.75">
      <c r="A103" s="73">
        <v>1</v>
      </c>
      <c r="B103" s="48" t="s">
        <v>143</v>
      </c>
      <c r="C103" s="90">
        <v>804152757</v>
      </c>
      <c r="D103" s="121">
        <v>2560.7495</v>
      </c>
      <c r="E103" s="121">
        <v>2611.0181</v>
      </c>
      <c r="F103" s="60">
        <v>36000</v>
      </c>
      <c r="G103" s="142">
        <f>E103-D103</f>
        <v>50.26859999999988</v>
      </c>
      <c r="H103" s="44"/>
      <c r="I103" s="60">
        <f>F103*G103+H103</f>
        <v>1809669.5999999957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180</v>
      </c>
      <c r="AU103" s="51"/>
      <c r="AV103" s="51"/>
      <c r="AW103" s="51"/>
      <c r="AX103" s="51"/>
      <c r="AY103" s="52"/>
      <c r="AZ103" s="189">
        <f>SUM(AZ104:AZ108)</f>
        <v>12520</v>
      </c>
      <c r="BA103" s="95"/>
      <c r="BB103" s="188">
        <f>AZ103*BB58</f>
        <v>48983.49681326507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.75">
      <c r="A104" s="49"/>
      <c r="B104" s="46" t="s">
        <v>144</v>
      </c>
      <c r="C104" s="106">
        <v>109054169</v>
      </c>
      <c r="D104" s="121">
        <v>3143.3106</v>
      </c>
      <c r="E104" s="121">
        <v>3194.7625</v>
      </c>
      <c r="F104" s="60">
        <v>36000</v>
      </c>
      <c r="G104" s="142">
        <f>E104-D104</f>
        <v>51.45190000000002</v>
      </c>
      <c r="H104" s="44"/>
      <c r="I104" s="60">
        <f>F104*G104+H104</f>
        <v>1852268.4000000008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203</v>
      </c>
      <c r="AV104" s="64"/>
      <c r="AW104" s="64"/>
      <c r="AX104" s="64"/>
      <c r="AY104" s="65"/>
      <c r="AZ104" s="67">
        <v>1920</v>
      </c>
      <c r="BA104" s="78"/>
      <c r="BB104" s="188">
        <f>AZ104*BB58</f>
        <v>7511.8461566668475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.75">
      <c r="A105" s="45"/>
      <c r="B105" s="55"/>
      <c r="C105" s="53"/>
      <c r="D105" s="55"/>
      <c r="E105" s="55"/>
      <c r="F105" s="107" t="s">
        <v>106</v>
      </c>
      <c r="G105" s="55"/>
      <c r="H105" s="56"/>
      <c r="I105" s="60">
        <f>I103+I104</f>
        <v>3661937.9999999963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201</v>
      </c>
      <c r="AU105" s="64"/>
      <c r="AV105" s="64" t="s">
        <v>181</v>
      </c>
      <c r="AW105" s="64"/>
      <c r="AX105" s="64"/>
      <c r="AY105" s="65"/>
      <c r="AZ105" s="67">
        <v>4560</v>
      </c>
      <c r="BA105" s="78"/>
      <c r="BB105" s="188">
        <f>AZ105*BB58</f>
        <v>17840.634622083762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.75">
      <c r="A106" s="44" t="s">
        <v>107</v>
      </c>
      <c r="B106" s="45" t="s">
        <v>108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201</v>
      </c>
      <c r="AU106" s="64"/>
      <c r="AV106" s="64" t="s">
        <v>204</v>
      </c>
      <c r="AW106" s="64"/>
      <c r="AX106" s="64"/>
      <c r="AY106" s="65"/>
      <c r="AZ106" s="67">
        <v>0</v>
      </c>
      <c r="BA106" s="78"/>
      <c r="BB106" s="188">
        <f>AZ106*BB58</f>
        <v>0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.75">
      <c r="A107" s="44" t="s">
        <v>109</v>
      </c>
      <c r="B107" s="44" t="s">
        <v>110</v>
      </c>
      <c r="C107" s="106">
        <v>109053225</v>
      </c>
      <c r="D107" s="121">
        <v>7815.5673</v>
      </c>
      <c r="E107" s="121">
        <v>7870.4654</v>
      </c>
      <c r="F107" s="60">
        <v>21000</v>
      </c>
      <c r="G107" s="142">
        <f>E107-D107</f>
        <v>54.89810000000034</v>
      </c>
      <c r="H107" s="44"/>
      <c r="I107" s="60">
        <f>F107*G107+H107</f>
        <v>1152860.100000007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205</v>
      </c>
      <c r="AW107" s="64"/>
      <c r="AX107" s="64"/>
      <c r="AY107" s="64"/>
      <c r="AZ107" s="67">
        <v>160</v>
      </c>
      <c r="BA107" s="70"/>
      <c r="BB107" s="188">
        <f>AZ107*BB58</f>
        <v>625.9871797222373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.75">
      <c r="A108" s="44" t="s">
        <v>254</v>
      </c>
      <c r="B108" s="55" t="s">
        <v>257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57</v>
      </c>
      <c r="AU108" s="53"/>
      <c r="AV108" s="101"/>
      <c r="AW108" s="101"/>
      <c r="AX108" s="53"/>
      <c r="AY108" s="54"/>
      <c r="AZ108" s="68">
        <v>5880</v>
      </c>
      <c r="BA108" s="86"/>
      <c r="BB108" s="188">
        <f>AZ108*BB58</f>
        <v>23005.02885479222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</row>
    <row r="109" spans="1:68" ht="12.75">
      <c r="A109" s="44" t="s">
        <v>255</v>
      </c>
      <c r="B109" s="45" t="s">
        <v>258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268</v>
      </c>
      <c r="AU109" s="51"/>
      <c r="AV109" s="51"/>
      <c r="AW109" s="51"/>
      <c r="AX109" s="51"/>
      <c r="AY109" s="52"/>
      <c r="AZ109" s="189">
        <f>AZ110+AZ111</f>
        <v>187418</v>
      </c>
      <c r="BA109" s="95"/>
      <c r="BB109" s="188">
        <f>AZ109*BB58</f>
        <v>733257.9078073892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</row>
    <row r="110" spans="1:68" ht="12.75">
      <c r="A110" s="45" t="s">
        <v>256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21</v>
      </c>
      <c r="AU110" s="64"/>
      <c r="AV110" s="64"/>
      <c r="AW110" s="64"/>
      <c r="AX110" s="64"/>
      <c r="AY110" s="65"/>
      <c r="AZ110" s="67">
        <v>15896</v>
      </c>
      <c r="BA110" s="78"/>
      <c r="BB110" s="188">
        <f>AZ110*BB58</f>
        <v>62191.826305404276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</row>
    <row r="111" spans="1:68" ht="12.75">
      <c r="A111" s="44" t="s">
        <v>113</v>
      </c>
      <c r="B111" s="45" t="s">
        <v>114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22</v>
      </c>
      <c r="AU111" s="53"/>
      <c r="AV111" s="53"/>
      <c r="AW111" s="53"/>
      <c r="AX111" s="53"/>
      <c r="AY111" s="54"/>
      <c r="AZ111" s="68">
        <v>171522</v>
      </c>
      <c r="BA111" s="86"/>
      <c r="BB111" s="188">
        <f>AZ111*BB58</f>
        <v>671066.081501985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</row>
    <row r="112" spans="1:68" ht="12.75">
      <c r="A112" s="48" t="s">
        <v>115</v>
      </c>
      <c r="B112" s="48" t="s">
        <v>118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206</v>
      </c>
      <c r="AU112" s="55"/>
      <c r="AV112" s="55"/>
      <c r="AW112" s="55"/>
      <c r="AX112" s="55"/>
      <c r="AY112" s="56"/>
      <c r="AZ112" s="125">
        <v>17108</v>
      </c>
      <c r="BA112" s="92"/>
      <c r="BB112" s="188">
        <f>AZ112*BB58</f>
        <v>66933.67919180023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</row>
    <row r="113" spans="1:68" ht="12.75">
      <c r="A113" s="49"/>
      <c r="B113" s="49" t="s">
        <v>116</v>
      </c>
      <c r="C113" s="91">
        <v>109056121</v>
      </c>
      <c r="D113" s="212">
        <v>6646.483</v>
      </c>
      <c r="E113" s="212">
        <v>6677.3173</v>
      </c>
      <c r="F113" s="68">
        <v>4800</v>
      </c>
      <c r="G113" s="213">
        <f aca="true" t="shared" si="2" ref="G113:G132">E113-D113</f>
        <v>30.83429999999953</v>
      </c>
      <c r="H113" s="68"/>
      <c r="I113" s="68">
        <f>F113*G113+H113</f>
        <v>148004.63999999774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56</v>
      </c>
      <c r="AU113" s="55"/>
      <c r="AV113" s="55"/>
      <c r="AW113" s="55"/>
      <c r="AX113" s="55"/>
      <c r="AY113" s="56"/>
      <c r="AZ113" s="125">
        <v>21472</v>
      </c>
      <c r="BA113" s="92"/>
      <c r="BB113" s="188">
        <f>AZ113*BB58</f>
        <v>84007.47951872424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</row>
    <row r="114" spans="1:68" ht="12.75">
      <c r="A114" s="48" t="s">
        <v>117</v>
      </c>
      <c r="B114" s="48" t="s">
        <v>129</v>
      </c>
      <c r="C114" s="90">
        <v>623125232</v>
      </c>
      <c r="D114" s="214">
        <v>3004.4408</v>
      </c>
      <c r="E114" s="214">
        <v>3029.0723</v>
      </c>
      <c r="F114" s="75">
        <v>1800</v>
      </c>
      <c r="G114" s="215">
        <f t="shared" si="2"/>
        <v>24.63149999999996</v>
      </c>
      <c r="H114" s="73"/>
      <c r="I114" s="75">
        <f>G114*F114</f>
        <v>44336.699999999924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197</v>
      </c>
      <c r="AU114" s="55"/>
      <c r="AV114" s="55"/>
      <c r="AW114" s="55"/>
      <c r="AX114" s="55"/>
      <c r="AY114" s="56"/>
      <c r="AZ114" s="125">
        <v>13835</v>
      </c>
      <c r="BA114" s="92"/>
      <c r="BB114" s="188">
        <f>AZ114*BB58</f>
        <v>54128.32894660721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</row>
    <row r="115" spans="1:68" ht="12.75">
      <c r="A115" s="49"/>
      <c r="B115" s="49" t="s">
        <v>116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177</v>
      </c>
      <c r="AU115" s="55"/>
      <c r="AV115" s="55"/>
      <c r="AW115" s="55"/>
      <c r="AX115" s="55"/>
      <c r="AY115" s="56"/>
      <c r="AZ115" s="125">
        <v>2588</v>
      </c>
      <c r="BA115" s="92"/>
      <c r="BB115" s="188">
        <f>AZ115*BB58</f>
        <v>10125.342632007189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</row>
    <row r="116" spans="1:68" ht="12.75">
      <c r="A116" s="48" t="s">
        <v>119</v>
      </c>
      <c r="B116" s="48" t="s">
        <v>130</v>
      </c>
      <c r="C116" s="90">
        <v>623125667</v>
      </c>
      <c r="D116" s="214">
        <v>4026.3237</v>
      </c>
      <c r="E116" s="214">
        <v>4076.3291</v>
      </c>
      <c r="F116" s="75">
        <v>1800</v>
      </c>
      <c r="G116" s="215">
        <f t="shared" si="2"/>
        <v>50.00540000000001</v>
      </c>
      <c r="H116" s="73"/>
      <c r="I116" s="75">
        <f>G116*F116</f>
        <v>90009.72000000002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45000</v>
      </c>
      <c r="BA116" s="92"/>
      <c r="BB116" s="188">
        <f>AZ116*BB58</f>
        <v>176058.89429687924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</row>
    <row r="117" spans="1:68" ht="12.75">
      <c r="A117" s="49"/>
      <c r="B117" s="49" t="s">
        <v>116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12000</v>
      </c>
      <c r="BA117" s="92"/>
      <c r="BB117" s="188">
        <f>AZ117*BB58</f>
        <v>46949.0384791678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</row>
    <row r="118" spans="1:68" ht="12.75">
      <c r="A118" s="48" t="s">
        <v>120</v>
      </c>
      <c r="B118" s="48" t="s">
        <v>131</v>
      </c>
      <c r="C118" s="90">
        <v>623126370</v>
      </c>
      <c r="D118" s="214">
        <v>796.8884</v>
      </c>
      <c r="E118" s="214">
        <v>811.0353</v>
      </c>
      <c r="F118" s="75">
        <v>4800</v>
      </c>
      <c r="G118" s="215">
        <f t="shared" si="2"/>
        <v>14.14689999999996</v>
      </c>
      <c r="H118" s="73"/>
      <c r="I118" s="75">
        <f>G118*F118</f>
        <v>67905.1199999998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202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195.62099366319916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</row>
    <row r="119" spans="1:68" ht="12.75">
      <c r="A119" s="49"/>
      <c r="B119" s="49" t="s">
        <v>116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199</v>
      </c>
      <c r="AU119" s="107"/>
      <c r="AV119" s="55"/>
      <c r="AW119" s="55"/>
      <c r="AX119" s="55"/>
      <c r="AY119" s="56"/>
      <c r="AZ119" s="125">
        <v>64840</v>
      </c>
      <c r="BA119" s="92"/>
      <c r="BB119" s="188">
        <f>AZ119*BB58</f>
        <v>253681.3045824367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</row>
    <row r="120" spans="1:68" ht="12.75">
      <c r="A120" s="48" t="s">
        <v>121</v>
      </c>
      <c r="B120" s="48" t="s">
        <v>132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</row>
    <row r="121" spans="1:68" ht="12.75">
      <c r="A121" s="49"/>
      <c r="B121" s="49" t="s">
        <v>116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</row>
    <row r="122" spans="1:68" ht="12.75">
      <c r="A122" s="48" t="s">
        <v>122</v>
      </c>
      <c r="B122" s="48" t="s">
        <v>133</v>
      </c>
      <c r="C122" s="90">
        <v>623125142</v>
      </c>
      <c r="D122" s="214">
        <v>2657.5554</v>
      </c>
      <c r="E122" s="214">
        <v>2692.7084</v>
      </c>
      <c r="F122" s="75">
        <v>2400</v>
      </c>
      <c r="G122" s="215">
        <f t="shared" si="2"/>
        <v>35.15299999999979</v>
      </c>
      <c r="H122" s="73"/>
      <c r="I122" s="75">
        <f>G122*F122</f>
        <v>84367.1999999995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</row>
    <row r="123" spans="1:68" ht="12.75">
      <c r="A123" s="49"/>
      <c r="B123" s="49" t="s">
        <v>116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</row>
    <row r="124" spans="1:68" ht="12.75">
      <c r="A124" s="48" t="s">
        <v>123</v>
      </c>
      <c r="B124" s="48" t="s">
        <v>134</v>
      </c>
      <c r="C124" s="90">
        <v>623125205</v>
      </c>
      <c r="D124" s="214">
        <v>2156.6227</v>
      </c>
      <c r="E124" s="214">
        <v>2196.2547</v>
      </c>
      <c r="F124" s="75">
        <v>1800</v>
      </c>
      <c r="G124" s="215">
        <f t="shared" si="2"/>
        <v>39.63200000000006</v>
      </c>
      <c r="H124" s="73"/>
      <c r="I124" s="75">
        <f>G124*F124</f>
        <v>71337.60000000011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</row>
    <row r="125" spans="1:68" ht="12.75">
      <c r="A125" s="49"/>
      <c r="B125" s="49" t="s">
        <v>116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</row>
    <row r="126" spans="1:68" ht="12.75">
      <c r="A126" s="48" t="s">
        <v>124</v>
      </c>
      <c r="B126" s="48" t="s">
        <v>135</v>
      </c>
      <c r="C126" s="90">
        <v>623123704</v>
      </c>
      <c r="D126" s="214">
        <v>2636.3724</v>
      </c>
      <c r="E126" s="214">
        <v>2694.6294</v>
      </c>
      <c r="F126" s="75">
        <v>1800</v>
      </c>
      <c r="G126" s="215">
        <f t="shared" si="2"/>
        <v>58.25699999999961</v>
      </c>
      <c r="H126" s="73"/>
      <c r="I126" s="75">
        <f>G126*F126</f>
        <v>104862.5999999993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</row>
    <row r="127" spans="1:68" ht="12.75">
      <c r="A127" s="49"/>
      <c r="B127" s="49" t="s">
        <v>116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</row>
    <row r="128" spans="1:68" ht="12.75">
      <c r="A128" s="48" t="s">
        <v>125</v>
      </c>
      <c r="B128" s="48" t="s">
        <v>136</v>
      </c>
      <c r="C128" s="90">
        <v>623125794</v>
      </c>
      <c r="D128" s="214">
        <v>160.2816</v>
      </c>
      <c r="E128" s="214">
        <v>172.1663</v>
      </c>
      <c r="F128" s="75">
        <v>1800</v>
      </c>
      <c r="G128" s="215">
        <f>E128-D128</f>
        <v>11.88470000000001</v>
      </c>
      <c r="H128" s="73"/>
      <c r="I128" s="75">
        <f>G128*F128</f>
        <v>21392.460000000017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</row>
    <row r="129" spans="1:68" ht="12.75">
      <c r="A129" s="49"/>
      <c r="B129" s="49" t="s">
        <v>116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</row>
    <row r="130" spans="1:68" ht="12.75">
      <c r="A130" s="48" t="s">
        <v>126</v>
      </c>
      <c r="B130" s="48" t="s">
        <v>137</v>
      </c>
      <c r="C130" s="90">
        <v>623125736</v>
      </c>
      <c r="D130" s="214">
        <v>3151.9903</v>
      </c>
      <c r="E130" s="214">
        <v>3191.0803</v>
      </c>
      <c r="F130" s="75">
        <v>1200</v>
      </c>
      <c r="G130" s="215">
        <f t="shared" si="2"/>
        <v>39.090000000000146</v>
      </c>
      <c r="H130" s="73"/>
      <c r="I130" s="75">
        <f>G130*F130</f>
        <v>46908.000000000175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</row>
    <row r="131" spans="1:68" ht="12.75">
      <c r="A131" s="49"/>
      <c r="B131" s="49" t="s">
        <v>116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5913394</v>
      </c>
      <c r="BA131" s="47"/>
      <c r="BB131" s="165">
        <f>SUM(BB93:BB96)+BB103+BB109+SUM(BB112:BB126)</f>
        <v>23135680.20404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</row>
    <row r="132" spans="1:68" ht="12.75">
      <c r="A132" s="48" t="s">
        <v>127</v>
      </c>
      <c r="B132" s="50" t="s">
        <v>128</v>
      </c>
      <c r="C132" s="90">
        <v>1110171156</v>
      </c>
      <c r="D132" s="214">
        <v>1683.4952</v>
      </c>
      <c r="E132" s="214">
        <v>1732.632</v>
      </c>
      <c r="F132" s="75">
        <v>40</v>
      </c>
      <c r="G132" s="215">
        <f t="shared" si="2"/>
        <v>49.136799999999994</v>
      </c>
      <c r="H132" s="73"/>
      <c r="I132" s="75">
        <f>G132*F132</f>
        <v>1965.4719999999998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</row>
    <row r="133" spans="1:68" ht="12.75">
      <c r="A133" s="49"/>
      <c r="B133" s="46" t="s">
        <v>116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</row>
    <row r="134" spans="1:68" ht="12.75">
      <c r="A134" s="94"/>
      <c r="B134" s="55"/>
      <c r="C134" s="86"/>
      <c r="D134" s="92"/>
      <c r="E134" s="93"/>
      <c r="F134" s="93"/>
      <c r="G134" s="108" t="s">
        <v>138</v>
      </c>
      <c r="H134" s="56"/>
      <c r="I134" s="125">
        <f>SUM(I112:I133)+I107</f>
        <v>1833949.6120000035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296</v>
      </c>
      <c r="AU134" s="47"/>
      <c r="AV134" s="47"/>
      <c r="AW134" s="47"/>
      <c r="AX134" s="47"/>
      <c r="AY134" s="47"/>
      <c r="AZ134" s="47"/>
      <c r="BA134" s="47"/>
      <c r="BB134" s="47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</row>
    <row r="135" spans="1:68" ht="12.75">
      <c r="A135" s="48" t="s">
        <v>141</v>
      </c>
      <c r="B135" s="50" t="s">
        <v>139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</row>
    <row r="136" spans="1:68" ht="12.75">
      <c r="A136" s="74"/>
      <c r="B136" s="63" t="s">
        <v>140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45</v>
      </c>
      <c r="AU136" s="47"/>
      <c r="AV136" s="47"/>
      <c r="AW136" s="47"/>
      <c r="AX136" s="47"/>
      <c r="AY136" s="47"/>
      <c r="AZ136" s="47"/>
      <c r="BA136" s="47"/>
      <c r="BB136" s="47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</row>
    <row r="137" spans="1:68" ht="12.75">
      <c r="A137" s="50" t="s">
        <v>142</v>
      </c>
      <c r="B137" s="48" t="s">
        <v>235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</row>
    <row r="138" spans="1:68" ht="12.75">
      <c r="A138" s="63"/>
      <c r="B138" s="74"/>
      <c r="C138" s="194">
        <v>611127627</v>
      </c>
      <c r="D138" s="191">
        <v>2564.9724</v>
      </c>
      <c r="E138" s="191">
        <v>2565.7252</v>
      </c>
      <c r="F138" s="60">
        <v>40</v>
      </c>
      <c r="G138" s="142">
        <f>E138-D138</f>
        <v>0.7527999999997519</v>
      </c>
      <c r="H138" s="60"/>
      <c r="I138" s="60">
        <f>ROUND(F138*G138+H138,0)</f>
        <v>30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</row>
    <row r="139" spans="1:68" ht="12.75">
      <c r="A139" s="63"/>
      <c r="B139" s="49" t="s">
        <v>226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297</v>
      </c>
      <c r="AX139" s="47"/>
      <c r="AY139" s="47"/>
      <c r="AZ139" s="47"/>
      <c r="BA139" s="47"/>
      <c r="BB139" s="47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</row>
    <row r="140" spans="1:68" ht="12.75">
      <c r="A140" s="48" t="s">
        <v>145</v>
      </c>
      <c r="B140" s="65"/>
      <c r="C140" s="106">
        <v>810120245</v>
      </c>
      <c r="D140" s="191">
        <v>1342.4411</v>
      </c>
      <c r="E140" s="191">
        <v>1342.8478</v>
      </c>
      <c r="F140" s="60">
        <v>3600</v>
      </c>
      <c r="G140" s="142">
        <f aca="true" t="shared" si="3" ref="G140:G145">E140-D140</f>
        <v>0.4067000000000007</v>
      </c>
      <c r="H140" s="60"/>
      <c r="I140" s="60">
        <f aca="true" t="shared" si="4" ref="I140:I145">ROUND(F140*G140+H140,0)</f>
        <v>1464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294</v>
      </c>
      <c r="AX140" s="47"/>
      <c r="AY140" s="47"/>
      <c r="AZ140" s="47"/>
      <c r="BA140" s="47"/>
      <c r="BB140" s="47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</row>
    <row r="141" spans="1:68" ht="12.75">
      <c r="A141" s="74"/>
      <c r="B141" s="65" t="s">
        <v>241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</row>
    <row r="142" spans="1:68" ht="12.75">
      <c r="A142" s="74"/>
      <c r="B142" s="65"/>
      <c r="C142" s="103">
        <v>4050284</v>
      </c>
      <c r="D142" s="121">
        <v>4356.7139</v>
      </c>
      <c r="E142" s="121">
        <v>4378.2564</v>
      </c>
      <c r="F142" s="60">
        <v>3600</v>
      </c>
      <c r="G142" s="143">
        <f t="shared" si="3"/>
        <v>21.542500000000473</v>
      </c>
      <c r="H142" s="44"/>
      <c r="I142" s="60">
        <f t="shared" si="4"/>
        <v>77553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</row>
    <row r="143" spans="1:68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</row>
    <row r="144" spans="1:68" ht="12.75">
      <c r="A144" s="74" t="s">
        <v>146</v>
      </c>
      <c r="B144" s="48" t="s">
        <v>112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</row>
    <row r="145" spans="1:68" ht="12.75">
      <c r="A145" s="196"/>
      <c r="B145" s="74" t="s">
        <v>111</v>
      </c>
      <c r="C145" s="194">
        <v>611127492</v>
      </c>
      <c r="D145" s="191">
        <v>6224.1588</v>
      </c>
      <c r="E145" s="191">
        <v>6281.5512</v>
      </c>
      <c r="F145" s="60">
        <v>20</v>
      </c>
      <c r="G145" s="142">
        <f t="shared" si="3"/>
        <v>57.392399999999725</v>
      </c>
      <c r="H145" s="60"/>
      <c r="I145" s="60">
        <f t="shared" si="4"/>
        <v>1148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</row>
    <row r="146" spans="1:68" ht="12.75">
      <c r="A146" s="50" t="s">
        <v>147</v>
      </c>
      <c r="B146" s="48" t="s">
        <v>236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</row>
    <row r="147" spans="1:68" ht="12.75">
      <c r="A147" s="197"/>
      <c r="B147" s="70" t="s">
        <v>276</v>
      </c>
      <c r="C147" s="194">
        <v>611127702</v>
      </c>
      <c r="D147" s="191">
        <v>7075.3816</v>
      </c>
      <c r="E147" s="191">
        <v>7097.8568</v>
      </c>
      <c r="F147" s="60">
        <v>60</v>
      </c>
      <c r="G147" s="142">
        <f>E147-D147</f>
        <v>22.47519999999986</v>
      </c>
      <c r="H147" s="44"/>
      <c r="I147" s="60">
        <f>ROUND(F147*G147+H147,0)</f>
        <v>1349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</row>
    <row r="148" spans="1:68" ht="12.75">
      <c r="A148" s="63"/>
      <c r="B148" s="70" t="s">
        <v>277</v>
      </c>
      <c r="C148" s="194">
        <v>611127555</v>
      </c>
      <c r="D148" s="191">
        <v>2271.1908</v>
      </c>
      <c r="E148" s="191">
        <v>2342.7232</v>
      </c>
      <c r="F148" s="60">
        <v>60</v>
      </c>
      <c r="G148" s="142">
        <f>E148-D148</f>
        <v>71.53240000000005</v>
      </c>
      <c r="H148" s="44"/>
      <c r="I148" s="60">
        <f>ROUND(F148*G148+H148,0)</f>
        <v>4292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</row>
    <row r="149" spans="1:68" ht="12.75">
      <c r="A149" s="50" t="s">
        <v>148</v>
      </c>
      <c r="B149" s="48" t="s">
        <v>237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</row>
    <row r="150" spans="1:68" ht="12.75">
      <c r="A150" s="197"/>
      <c r="B150" s="74"/>
      <c r="C150" s="194">
        <v>1110171163</v>
      </c>
      <c r="D150" s="121">
        <v>624.2424</v>
      </c>
      <c r="E150" s="121">
        <v>650.1776</v>
      </c>
      <c r="F150" s="60">
        <v>60</v>
      </c>
      <c r="G150" s="142">
        <f>E150-D150</f>
        <v>25.93520000000001</v>
      </c>
      <c r="H150" s="44"/>
      <c r="I150" s="60">
        <f>ROUND(F150*G150+H150,0)</f>
        <v>1556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</row>
    <row r="151" spans="1:68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</row>
    <row r="152" spans="1:68" ht="12.75">
      <c r="A152" s="50" t="s">
        <v>149</v>
      </c>
      <c r="B152" s="48" t="s">
        <v>238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</row>
    <row r="153" spans="1:68" ht="12.75">
      <c r="A153" s="63"/>
      <c r="B153" s="74"/>
      <c r="C153" s="194">
        <v>1110171170</v>
      </c>
      <c r="D153" s="191">
        <v>218.4728</v>
      </c>
      <c r="E153" s="191">
        <v>221.8428</v>
      </c>
      <c r="F153" s="60">
        <v>40</v>
      </c>
      <c r="G153" s="142">
        <f>E153-D153</f>
        <v>3.3700000000000045</v>
      </c>
      <c r="H153" s="60"/>
      <c r="I153" s="60">
        <f>ROUND(F153*G153+H153,0)</f>
        <v>135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</row>
    <row r="154" spans="1:68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</row>
    <row r="155" spans="1:68" ht="12.75">
      <c r="A155" s="48" t="s">
        <v>150</v>
      </c>
      <c r="B155" s="52" t="s">
        <v>271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</row>
    <row r="156" spans="1:68" ht="12.75">
      <c r="A156" s="74"/>
      <c r="B156" s="65" t="s">
        <v>227</v>
      </c>
      <c r="C156" s="194">
        <v>611126404</v>
      </c>
      <c r="D156" s="191">
        <v>924.5326</v>
      </c>
      <c r="E156" s="191">
        <v>934.191</v>
      </c>
      <c r="F156" s="60">
        <v>1800</v>
      </c>
      <c r="G156" s="142">
        <f>E156-D156</f>
        <v>9.658400000000029</v>
      </c>
      <c r="H156" s="60"/>
      <c r="I156" s="60">
        <f>ROUND(F156*G156+H156,0)</f>
        <v>17385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</row>
    <row r="157" spans="1:68" ht="12.75">
      <c r="A157" s="49"/>
      <c r="B157" s="54" t="s">
        <v>242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</row>
    <row r="158" spans="1:68" ht="12.75">
      <c r="A158" s="63" t="s">
        <v>228</v>
      </c>
      <c r="B158" s="48" t="s">
        <v>239</v>
      </c>
      <c r="C158" s="194">
        <v>611127724</v>
      </c>
      <c r="D158" s="191">
        <v>699.85</v>
      </c>
      <c r="E158" s="191">
        <v>708.1156</v>
      </c>
      <c r="F158" s="60">
        <v>30</v>
      </c>
      <c r="G158" s="142">
        <f>E158-D158</f>
        <v>8.26559999999995</v>
      </c>
      <c r="H158" s="60"/>
      <c r="I158" s="60">
        <f>ROUND(F158*G158+H158,0)</f>
        <v>248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</row>
    <row r="159" spans="1:68" ht="12.75">
      <c r="A159" s="46"/>
      <c r="B159" s="74" t="s">
        <v>270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</row>
    <row r="160" spans="1:68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</row>
    <row r="161" spans="1:68" ht="12.75">
      <c r="A161" s="46"/>
      <c r="B161" s="53"/>
      <c r="C161" s="55"/>
      <c r="D161" s="55"/>
      <c r="E161" s="55"/>
      <c r="F161" s="55" t="s">
        <v>151</v>
      </c>
      <c r="G161" s="55"/>
      <c r="H161" s="56"/>
      <c r="I161" s="125">
        <f>SUM(I137:I159)-I160</f>
        <v>105160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</row>
    <row r="162" spans="1:68" ht="12.75">
      <c r="A162" s="45"/>
      <c r="B162" s="55"/>
      <c r="C162" s="55"/>
      <c r="D162" s="55"/>
      <c r="E162" s="55"/>
      <c r="F162" s="55"/>
      <c r="G162" s="55" t="s">
        <v>152</v>
      </c>
      <c r="H162" s="56"/>
      <c r="I162" s="125">
        <f>I103+I104+I107+I108+I109+I110-I134-I161</f>
        <v>2875688.488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</row>
    <row r="163" spans="1:68" ht="12.75">
      <c r="A163" s="44" t="s">
        <v>159</v>
      </c>
      <c r="B163" s="45" t="s">
        <v>153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</row>
    <row r="164" spans="1:68" ht="12.75">
      <c r="A164" s="48" t="s">
        <v>157</v>
      </c>
      <c r="B164" s="48" t="s">
        <v>154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</row>
    <row r="165" spans="1:68" ht="12.75">
      <c r="A165" s="49"/>
      <c r="B165" s="49" t="s">
        <v>155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</row>
    <row r="166" spans="1:68" ht="12.75">
      <c r="A166" s="48" t="s">
        <v>158</v>
      </c>
      <c r="B166" s="48" t="s">
        <v>156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</row>
    <row r="167" spans="1:68" ht="12.75">
      <c r="A167" s="49"/>
      <c r="B167" s="49" t="s">
        <v>155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</row>
    <row r="168" spans="1:68" ht="12.75">
      <c r="A168" s="45"/>
      <c r="B168" s="55"/>
      <c r="C168" s="109"/>
      <c r="D168" s="92"/>
      <c r="E168" s="110"/>
      <c r="F168" s="110" t="s">
        <v>160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</row>
    <row r="169" spans="1:68" ht="12.75">
      <c r="A169" s="45"/>
      <c r="B169" s="55"/>
      <c r="C169" s="109"/>
      <c r="D169" s="92"/>
      <c r="E169" s="110"/>
      <c r="F169" s="110"/>
      <c r="G169" s="111" t="s">
        <v>161</v>
      </c>
      <c r="H169" s="56"/>
      <c r="I169" s="125">
        <f>I162+I168</f>
        <v>2875688.488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</row>
    <row r="170" spans="1:68" ht="12.75">
      <c r="A170" s="50" t="s">
        <v>162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</row>
    <row r="171" spans="1:68" ht="12.75">
      <c r="A171" s="114" t="s">
        <v>285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</row>
    <row r="172" spans="1:68" ht="12.75">
      <c r="A172" s="64" t="s">
        <v>165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</row>
    <row r="173" spans="1:68" ht="12.75">
      <c r="A173" s="64"/>
      <c r="B173" s="64"/>
      <c r="C173" s="78"/>
      <c r="D173" s="202" t="s">
        <v>166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</row>
    <row r="174" spans="1:68" ht="12.75">
      <c r="A174" s="64"/>
      <c r="B174" s="64"/>
      <c r="C174" s="78"/>
      <c r="D174" s="202" t="s">
        <v>263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</row>
    <row r="175" spans="1:68" ht="12.75">
      <c r="A175" s="64"/>
      <c r="B175" s="64"/>
      <c r="C175" s="154"/>
      <c r="D175" s="202" t="s">
        <v>286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</row>
    <row r="176" spans="1:68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</row>
    <row r="177" spans="1:68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252</v>
      </c>
      <c r="BA177" s="47"/>
      <c r="BB177" s="47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</row>
    <row r="178" spans="1:68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246</v>
      </c>
      <c r="BA178" s="47" t="s">
        <v>25</v>
      </c>
      <c r="BB178" s="47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</row>
    <row r="179" spans="1:68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243</v>
      </c>
      <c r="AZ179" s="190">
        <f>AZ183+AZ184+AZ185</f>
        <v>3001247</v>
      </c>
      <c r="BA179" s="218">
        <f>AZ179*2.9</f>
        <v>8703616.299999999</v>
      </c>
      <c r="BB179" s="47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</row>
    <row r="180" spans="1:68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244</v>
      </c>
      <c r="AZ180" s="190">
        <f>AZ187-AZ179-AZ181</f>
        <v>2748367</v>
      </c>
      <c r="BA180" s="218">
        <f>AZ180*2.9</f>
        <v>7970264.3</v>
      </c>
      <c r="BB180" s="47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</row>
    <row r="181" spans="1:68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245</v>
      </c>
      <c r="AZ181" s="190">
        <f>AZ186</f>
        <v>163780</v>
      </c>
      <c r="BA181" s="218">
        <f>AZ181*2.9</f>
        <v>474962</v>
      </c>
      <c r="BB181" s="47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</row>
    <row r="182" spans="52:68" ht="12.75">
      <c r="AZ182" s="216"/>
      <c r="BA182" s="216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</row>
    <row r="183" spans="51:68" ht="12.75">
      <c r="AY183" s="47" t="s">
        <v>247</v>
      </c>
      <c r="AZ183" s="217">
        <v>2742934</v>
      </c>
      <c r="BA183" s="216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</row>
    <row r="184" spans="51:68" ht="12.75">
      <c r="AY184" s="47" t="s">
        <v>248</v>
      </c>
      <c r="AZ184" s="217">
        <f>AZ95</f>
        <v>76460</v>
      </c>
      <c r="BA184" s="216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</row>
    <row r="185" spans="51:68" ht="12.75">
      <c r="AY185" s="47" t="s">
        <v>250</v>
      </c>
      <c r="AZ185" s="217">
        <v>181853</v>
      </c>
      <c r="BA185" s="216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</row>
    <row r="186" spans="51:68" ht="12.75">
      <c r="AY186" s="47" t="s">
        <v>251</v>
      </c>
      <c r="AZ186" s="217">
        <v>163780</v>
      </c>
      <c r="BA186" s="216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</row>
    <row r="187" spans="51:68" ht="12.75">
      <c r="AY187" s="47" t="s">
        <v>249</v>
      </c>
      <c r="AZ187" s="217">
        <f>AZ131</f>
        <v>5913394</v>
      </c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</row>
    <row r="188" spans="55:68" ht="12.75"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</row>
    <row r="189" spans="55:68" ht="12.75"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 t="s">
        <v>280</v>
      </c>
      <c r="C196" s="3"/>
      <c r="D196" s="228">
        <v>42444</v>
      </c>
      <c r="E196" s="228">
        <v>42465</v>
      </c>
      <c r="F196" s="228">
        <v>1800</v>
      </c>
      <c r="G196" s="228">
        <f>E196-D196</f>
        <v>21</v>
      </c>
      <c r="H196" s="228"/>
      <c r="I196" s="60">
        <f>ROUND(F196*G196+H196,0)</f>
        <v>37800</v>
      </c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.7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2.7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2.7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.75">
      <c r="A225" s="3"/>
      <c r="B225" s="3"/>
      <c r="C225" s="3"/>
      <c r="D225" s="3"/>
      <c r="E225" s="3"/>
      <c r="F225" s="3"/>
      <c r="G225" s="3"/>
      <c r="H225" s="3"/>
      <c r="I225" s="3"/>
    </row>
    <row r="226" spans="1:27" ht="12.75">
      <c r="A226" s="3"/>
      <c r="B226" s="3"/>
      <c r="C226" s="3"/>
      <c r="D226" s="3"/>
      <c r="E226" s="3"/>
      <c r="F226" s="3"/>
      <c r="G226" s="3"/>
      <c r="H226" s="3"/>
      <c r="I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>
      <c r="A227" s="3"/>
      <c r="B227" s="3"/>
      <c r="C227" s="3"/>
      <c r="D227" s="3"/>
      <c r="E227" s="3"/>
      <c r="F227" s="3"/>
      <c r="G227" s="3"/>
      <c r="H227" s="3"/>
      <c r="I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>
      <c r="A228" s="3"/>
      <c r="B228" s="3"/>
      <c r="C228" s="3"/>
      <c r="D228" s="3"/>
      <c r="E228" s="3"/>
      <c r="F228" s="3"/>
      <c r="G228" s="3"/>
      <c r="H228" s="3"/>
      <c r="I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>
      <c r="A229" s="3"/>
      <c r="B229" s="3"/>
      <c r="C229" s="3"/>
      <c r="D229" s="3"/>
      <c r="E229" s="3"/>
      <c r="F229" s="3"/>
      <c r="G229" s="3"/>
      <c r="H229" s="3"/>
      <c r="I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>
      <c r="A230" s="21"/>
      <c r="B230" s="3"/>
      <c r="C230" s="3"/>
      <c r="D230" s="3"/>
      <c r="E230" s="3"/>
      <c r="F230" s="3"/>
      <c r="G230" s="3"/>
      <c r="H230" s="3"/>
      <c r="I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>
      <c r="A231" s="3"/>
      <c r="B231" s="3"/>
      <c r="C231" s="3"/>
      <c r="D231" s="3"/>
      <c r="E231" s="3"/>
      <c r="F231" s="3"/>
      <c r="G231" s="3"/>
      <c r="H231" s="3"/>
      <c r="I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9:27" ht="12.75">
      <c r="S232" s="3"/>
      <c r="T232" s="3"/>
      <c r="U232" s="3"/>
      <c r="V232" s="3"/>
      <c r="W232" s="3"/>
      <c r="X232" s="3"/>
      <c r="Y232" s="3"/>
      <c r="Z232" s="3"/>
      <c r="AA232" s="3"/>
    </row>
    <row r="233" spans="19:27" ht="12.75">
      <c r="S233" s="3"/>
      <c r="T233" s="3"/>
      <c r="U233" s="3"/>
      <c r="V233" s="3"/>
      <c r="W233" s="3"/>
      <c r="X233" s="3"/>
      <c r="Y233" s="3"/>
      <c r="Z233" s="3"/>
      <c r="AA233" s="3"/>
    </row>
    <row r="234" spans="19:27" ht="12.75">
      <c r="S234" s="3"/>
      <c r="T234" s="3"/>
      <c r="U234" s="3"/>
      <c r="V234" s="3"/>
      <c r="W234" s="3"/>
      <c r="X234" s="3"/>
      <c r="Y234" s="3"/>
      <c r="Z234" s="3"/>
      <c r="AA234" s="3"/>
    </row>
    <row r="235" spans="19:27" ht="12.75">
      <c r="S235" s="3"/>
      <c r="T235" s="3"/>
      <c r="U235" s="3"/>
      <c r="V235" s="3"/>
      <c r="W235" s="3"/>
      <c r="X235" s="3"/>
      <c r="Y235" s="3"/>
      <c r="Z235" s="3"/>
      <c r="AA235" s="3"/>
    </row>
    <row r="236" spans="19:27" ht="12.75">
      <c r="S236" s="3"/>
      <c r="T236" s="3"/>
      <c r="U236" s="3"/>
      <c r="V236" s="3"/>
      <c r="W236" s="3"/>
      <c r="X236" s="3"/>
      <c r="Y236" s="3"/>
      <c r="Z236" s="3"/>
      <c r="AA236" s="3"/>
    </row>
    <row r="237" spans="19:27" ht="12.75">
      <c r="S237" s="9"/>
      <c r="T237" s="20"/>
      <c r="U237" s="15"/>
      <c r="V237" s="15"/>
      <c r="W237" s="18"/>
      <c r="X237" s="19"/>
      <c r="Y237" s="15"/>
      <c r="Z237" s="9"/>
      <c r="AA237" s="10"/>
    </row>
    <row r="238" spans="19:27" ht="12.75">
      <c r="S238" s="13"/>
      <c r="T238" s="8"/>
      <c r="U238" s="16"/>
      <c r="V238" s="16"/>
      <c r="W238" s="15"/>
      <c r="X238" s="15"/>
      <c r="Y238" s="16"/>
      <c r="Z238" s="13"/>
      <c r="AA238" s="14"/>
    </row>
    <row r="239" spans="19:27" ht="12.75">
      <c r="S239" s="11"/>
      <c r="T239" s="6"/>
      <c r="U239" s="17"/>
      <c r="V239" s="17"/>
      <c r="W239" s="22"/>
      <c r="X239" s="22"/>
      <c r="Y239" s="17"/>
      <c r="Z239" s="11"/>
      <c r="AA239" s="12"/>
    </row>
    <row r="240" spans="19:27" ht="12.75">
      <c r="S240" s="25"/>
      <c r="T240" s="23"/>
      <c r="U240" s="23"/>
      <c r="V240" s="23"/>
      <c r="W240" s="23"/>
      <c r="X240" s="23"/>
      <c r="Y240" s="23"/>
      <c r="Z240" s="23"/>
      <c r="AA240" s="30"/>
    </row>
    <row r="241" spans="19:27" ht="12.75">
      <c r="S241" s="9"/>
      <c r="T241" s="20"/>
      <c r="U241" s="37"/>
      <c r="V241" s="19"/>
      <c r="W241" s="5"/>
      <c r="X241" s="5"/>
      <c r="Y241" s="29"/>
      <c r="Z241" s="1"/>
      <c r="AA241" s="26"/>
    </row>
    <row r="242" spans="19:27" ht="12.75">
      <c r="S242" s="13"/>
      <c r="T242" s="8"/>
      <c r="U242" s="38"/>
      <c r="V242" s="19"/>
      <c r="W242" s="5"/>
      <c r="X242" s="5"/>
      <c r="Y242" s="1"/>
      <c r="Z242" s="1"/>
      <c r="AA242" s="26"/>
    </row>
    <row r="243" spans="19:27" ht="12.75">
      <c r="S243" s="9"/>
      <c r="T243" s="20"/>
      <c r="U243" s="37"/>
      <c r="V243" s="19"/>
      <c r="W243" s="5"/>
      <c r="X243" s="5"/>
      <c r="Y243" s="1"/>
      <c r="Z243" s="1"/>
      <c r="AA243" s="26"/>
    </row>
    <row r="244" spans="19:27" ht="12.75">
      <c r="S244" s="13"/>
      <c r="T244" s="8"/>
      <c r="U244" s="38"/>
      <c r="V244" s="19"/>
      <c r="W244" s="5"/>
      <c r="X244" s="5"/>
      <c r="Y244" s="1"/>
      <c r="Z244" s="1"/>
      <c r="AA244" s="26"/>
    </row>
    <row r="245" spans="19:27" ht="12.75">
      <c r="S245" s="9"/>
      <c r="T245" s="20"/>
      <c r="U245" s="37"/>
      <c r="V245" s="19"/>
      <c r="W245" s="5"/>
      <c r="X245" s="5"/>
      <c r="Y245" s="1"/>
      <c r="Z245" s="1"/>
      <c r="AA245" s="26"/>
    </row>
    <row r="246" spans="19:27" ht="12.75">
      <c r="S246" s="13"/>
      <c r="T246" s="8"/>
      <c r="U246" s="38"/>
      <c r="V246" s="19"/>
      <c r="W246" s="1"/>
      <c r="X246" s="5"/>
      <c r="Y246" s="1"/>
      <c r="Z246" s="1"/>
      <c r="AA246" s="26"/>
    </row>
    <row r="247" spans="19:27" ht="12.75">
      <c r="S247" s="9"/>
      <c r="T247" s="20"/>
      <c r="U247" s="37"/>
      <c r="V247" s="19"/>
      <c r="W247" s="5"/>
      <c r="X247" s="5"/>
      <c r="Y247" s="1"/>
      <c r="Z247" s="1"/>
      <c r="AA247" s="26"/>
    </row>
    <row r="248" spans="19:27" ht="12.75">
      <c r="S248" s="13"/>
      <c r="T248" s="8"/>
      <c r="U248" s="38"/>
      <c r="V248" s="19"/>
      <c r="W248" s="5"/>
      <c r="X248" s="5"/>
      <c r="Y248" s="1"/>
      <c r="Z248" s="1"/>
      <c r="AA248" s="26"/>
    </row>
    <row r="249" spans="19:27" ht="12.75">
      <c r="S249" s="9"/>
      <c r="T249" s="20"/>
      <c r="U249" s="37"/>
      <c r="V249" s="19"/>
      <c r="W249" s="5"/>
      <c r="X249" s="5"/>
      <c r="Y249" s="1"/>
      <c r="Z249" s="1"/>
      <c r="AA249" s="26"/>
    </row>
    <row r="250" spans="19:27" ht="12.75">
      <c r="S250" s="11"/>
      <c r="T250" s="6"/>
      <c r="U250" s="38"/>
      <c r="V250" s="19"/>
      <c r="W250" s="5"/>
      <c r="X250" s="5"/>
      <c r="Y250" s="1"/>
      <c r="Z250" s="1"/>
      <c r="AA250" s="26"/>
    </row>
    <row r="251" spans="19:27" ht="12.75">
      <c r="S251" s="13"/>
      <c r="T251" s="8"/>
      <c r="U251" s="37"/>
      <c r="V251" s="19"/>
      <c r="W251" s="1"/>
      <c r="X251" s="5"/>
      <c r="Y251" s="1"/>
      <c r="Z251" s="1"/>
      <c r="AA251" s="26"/>
    </row>
    <row r="252" spans="19:27" ht="12.75">
      <c r="S252" s="11"/>
      <c r="T252" s="6"/>
      <c r="U252" s="38"/>
      <c r="V252" s="19"/>
      <c r="W252" s="1"/>
      <c r="X252" s="5"/>
      <c r="Y252" s="1"/>
      <c r="Z252" s="1"/>
      <c r="AA252" s="26"/>
    </row>
    <row r="253" spans="19:27" ht="12.75">
      <c r="S253" s="13"/>
      <c r="T253" s="8"/>
      <c r="U253" s="37"/>
      <c r="V253" s="19"/>
      <c r="W253" s="1"/>
      <c r="X253" s="5"/>
      <c r="Y253" s="1"/>
      <c r="Z253" s="1"/>
      <c r="AA253" s="26"/>
    </row>
    <row r="254" spans="19:27" ht="12.75">
      <c r="S254" s="11"/>
      <c r="T254" s="6"/>
      <c r="U254" s="38"/>
      <c r="V254" s="19"/>
      <c r="W254" s="1"/>
      <c r="X254" s="5"/>
      <c r="Y254" s="1"/>
      <c r="Z254" s="1"/>
      <c r="AA254" s="26"/>
    </row>
    <row r="255" spans="19:27" ht="12.75">
      <c r="S255" s="13"/>
      <c r="T255" s="8"/>
      <c r="U255" s="37"/>
      <c r="V255" s="19"/>
      <c r="W255" s="5"/>
      <c r="X255" s="5"/>
      <c r="Y255" s="1"/>
      <c r="Z255" s="1"/>
      <c r="AA255" s="26"/>
    </row>
    <row r="256" spans="19:27" ht="12.75">
      <c r="S256" s="11"/>
      <c r="T256" s="43"/>
      <c r="U256" s="39"/>
      <c r="V256" s="19"/>
      <c r="W256" s="5"/>
      <c r="X256" s="5"/>
      <c r="Y256" s="1"/>
      <c r="Z256" s="1"/>
      <c r="AA256" s="26"/>
    </row>
    <row r="257" spans="19:27" ht="12.75">
      <c r="S257" s="13"/>
      <c r="T257" s="14"/>
      <c r="U257" s="40"/>
      <c r="V257" s="1"/>
      <c r="W257" s="5"/>
      <c r="X257" s="5"/>
      <c r="Y257" s="1"/>
      <c r="Z257" s="1"/>
      <c r="AA257" s="26"/>
    </row>
    <row r="258" spans="19:27" ht="12.75">
      <c r="S258" s="11"/>
      <c r="T258" s="12"/>
      <c r="U258" s="41"/>
      <c r="V258" s="1"/>
      <c r="W258" s="5"/>
      <c r="X258" s="5"/>
      <c r="Y258" s="1"/>
      <c r="Z258" s="1"/>
      <c r="AA258" s="26"/>
    </row>
    <row r="259" spans="19:27" ht="12.75">
      <c r="S259" s="17"/>
      <c r="T259" s="17"/>
      <c r="U259" s="42"/>
      <c r="V259" s="1"/>
      <c r="W259" s="1"/>
      <c r="X259" s="1"/>
      <c r="Y259" s="1"/>
      <c r="Z259" s="1"/>
      <c r="AA259" s="26"/>
    </row>
    <row r="260" spans="19:27" ht="12.75">
      <c r="S260" s="1"/>
      <c r="T260" s="1"/>
      <c r="U260" s="42"/>
      <c r="V260" s="1"/>
      <c r="W260" s="5"/>
      <c r="X260" s="5"/>
      <c r="Y260" s="1"/>
      <c r="Z260" s="1"/>
      <c r="AA260" s="26"/>
    </row>
    <row r="261" spans="19:27" ht="12.75">
      <c r="S261" s="4"/>
      <c r="T261" s="1"/>
      <c r="U261" s="1"/>
      <c r="V261" s="1"/>
      <c r="W261" s="1"/>
      <c r="X261" s="1"/>
      <c r="Y261" s="1"/>
      <c r="Z261" s="1"/>
      <c r="AA261" s="27"/>
    </row>
    <row r="262" spans="19:27" ht="12.75">
      <c r="S262" s="4"/>
      <c r="T262" s="1"/>
      <c r="U262" s="1"/>
      <c r="V262" s="1"/>
      <c r="W262" s="1"/>
      <c r="X262" s="1"/>
      <c r="Y262" s="1"/>
      <c r="Z262" s="1"/>
      <c r="AA262" s="27"/>
    </row>
    <row r="263" spans="19:27" ht="12.75">
      <c r="S263" s="3"/>
      <c r="T263" s="3"/>
      <c r="U263" s="3"/>
      <c r="V263" s="3"/>
      <c r="W263" s="3"/>
      <c r="X263" s="3"/>
      <c r="Y263" s="3"/>
      <c r="Z263" s="3"/>
      <c r="AA263" s="3"/>
    </row>
    <row r="264" spans="19:27" ht="12.75">
      <c r="S264" s="3"/>
      <c r="T264" s="3"/>
      <c r="U264" s="3"/>
      <c r="V264" s="3"/>
      <c r="W264" s="3"/>
      <c r="X264" s="3"/>
      <c r="Y264" s="3"/>
      <c r="Z264" s="3"/>
      <c r="AA264" s="3"/>
    </row>
    <row r="265" spans="19:27" ht="12.75">
      <c r="S265" s="3"/>
      <c r="T265" s="3"/>
      <c r="U265" s="3"/>
      <c r="V265" s="3"/>
      <c r="W265" s="3"/>
      <c r="X265" s="3"/>
      <c r="Y265" s="3"/>
      <c r="Z265" s="3"/>
      <c r="AA265" s="3"/>
    </row>
    <row r="266" spans="19:27" ht="12.75">
      <c r="S266" s="3"/>
      <c r="T266" s="3"/>
      <c r="U266" s="3"/>
      <c r="V266" s="3"/>
      <c r="W266" s="3"/>
      <c r="X266" s="3"/>
      <c r="Y266" s="3"/>
      <c r="Z266" s="3"/>
      <c r="AA266" s="3"/>
    </row>
    <row r="267" spans="19:27" ht="12.75">
      <c r="S267" s="3"/>
      <c r="T267" s="3"/>
      <c r="U267" s="3"/>
      <c r="V267" s="3"/>
      <c r="W267" s="3"/>
      <c r="X267" s="3"/>
      <c r="Y267" s="3"/>
      <c r="Z267" s="3"/>
      <c r="AA267" s="3"/>
    </row>
    <row r="274" spans="19:27" ht="12.75">
      <c r="S274" s="3"/>
      <c r="T274" s="3"/>
      <c r="U274" s="3"/>
      <c r="V274" s="3"/>
      <c r="W274" s="3"/>
      <c r="X274" s="3"/>
      <c r="Y274" s="3"/>
      <c r="Z274" s="3"/>
      <c r="AA274" s="3"/>
    </row>
    <row r="275" spans="19:27" ht="12.75">
      <c r="S275" s="3"/>
      <c r="T275" s="3"/>
      <c r="U275" s="3"/>
      <c r="V275" s="3"/>
      <c r="W275" s="3"/>
      <c r="X275" s="3"/>
      <c r="Y275" s="3"/>
      <c r="Z275" s="3"/>
      <c r="AA275" s="3"/>
    </row>
    <row r="276" spans="19:27" ht="12.75">
      <c r="S276" s="3"/>
      <c r="T276" s="3"/>
      <c r="U276" s="3"/>
      <c r="V276" s="3"/>
      <c r="W276" s="3"/>
      <c r="X276" s="3"/>
      <c r="Y276" s="3"/>
      <c r="Z276" s="3"/>
      <c r="AA276" s="3"/>
    </row>
    <row r="277" spans="19:27" ht="12.75">
      <c r="S277" s="3"/>
      <c r="T277" s="3"/>
      <c r="U277" s="3"/>
      <c r="V277" s="3"/>
      <c r="W277" s="3"/>
      <c r="X277" s="3"/>
      <c r="Y277" s="3"/>
      <c r="Z277" s="3"/>
      <c r="AA277" s="3"/>
    </row>
    <row r="278" spans="19:27" ht="12.75">
      <c r="S278" s="3"/>
      <c r="T278" s="3"/>
      <c r="U278" s="3"/>
      <c r="V278" s="3"/>
      <c r="W278" s="3"/>
      <c r="X278" s="3"/>
      <c r="Y278" s="3"/>
      <c r="Z278" s="3"/>
      <c r="AA278" s="3"/>
    </row>
    <row r="279" spans="19:27" ht="12.75">
      <c r="S279" s="3"/>
      <c r="T279" s="3"/>
      <c r="U279" s="3"/>
      <c r="V279" s="3"/>
      <c r="W279" s="3"/>
      <c r="X279" s="3"/>
      <c r="Y279" s="3"/>
      <c r="Z279" s="3"/>
      <c r="AA279" s="3"/>
    </row>
  </sheetData>
  <sheetProtection/>
  <printOptions/>
  <pageMargins left="0.7874015748031497" right="0.1968503937007874" top="0.1968503937007874" bottom="0.1968503937007874" header="0.31496062992125984" footer="0.3149606299212598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279"/>
  <sheetViews>
    <sheetView tabSelected="1" zoomScalePageLayoutView="0" workbookViewId="0" topLeftCell="AR1">
      <selection activeCell="AY23" sqref="AY23"/>
    </sheetView>
  </sheetViews>
  <sheetFormatPr defaultColWidth="9.00390625" defaultRowHeight="12.75"/>
  <cols>
    <col min="1" max="1" width="6.75390625" style="0" customWidth="1"/>
    <col min="2" max="2" width="37.625" style="0" customWidth="1"/>
    <col min="3" max="3" width="15.125" style="0" customWidth="1"/>
    <col min="4" max="4" width="11.00390625" style="0" customWidth="1"/>
    <col min="5" max="5" width="11.625" style="0" customWidth="1"/>
    <col min="6" max="6" width="9.375" style="0" customWidth="1"/>
    <col min="7" max="7" width="9.25390625" style="0" customWidth="1"/>
    <col min="8" max="8" width="8.25390625" style="0" customWidth="1"/>
    <col min="9" max="9" width="12.00390625" style="0" customWidth="1"/>
    <col min="10" max="10" width="6.75390625" style="0" customWidth="1"/>
    <col min="11" max="11" width="36.375" style="0" customWidth="1"/>
    <col min="12" max="12" width="16.125" style="0" customWidth="1"/>
    <col min="13" max="14" width="11.125" style="0" customWidth="1"/>
    <col min="15" max="15" width="9.625" style="0" customWidth="1"/>
    <col min="16" max="16" width="10.25390625" style="0" customWidth="1"/>
    <col min="17" max="17" width="9.375" style="0" customWidth="1"/>
    <col min="18" max="18" width="11.625" style="0" customWidth="1"/>
    <col min="19" max="19" width="8.00390625" style="0" customWidth="1"/>
    <col min="21" max="21" width="13.625" style="0" customWidth="1"/>
    <col min="22" max="22" width="20.25390625" style="0" customWidth="1"/>
    <col min="23" max="23" width="15.75390625" style="0" customWidth="1"/>
    <col min="24" max="24" width="13.25390625" style="0" customWidth="1"/>
    <col min="25" max="26" width="13.875" style="0" customWidth="1"/>
    <col min="27" max="27" width="12.75390625" style="0" customWidth="1"/>
    <col min="28" max="28" width="7.375" style="0" customWidth="1"/>
    <col min="31" max="31" width="29.125" style="0" customWidth="1"/>
    <col min="32" max="32" width="13.00390625" style="0" customWidth="1"/>
    <col min="33" max="33" width="12.875" style="0" customWidth="1"/>
    <col min="34" max="34" width="12.125" style="0" customWidth="1"/>
    <col min="35" max="35" width="13.625" style="0" customWidth="1"/>
    <col min="36" max="36" width="12.875" style="0" customWidth="1"/>
    <col min="37" max="37" width="7.625" style="0" customWidth="1"/>
    <col min="40" max="40" width="30.75390625" style="0" customWidth="1"/>
    <col min="41" max="41" width="13.375" style="0" customWidth="1"/>
    <col min="42" max="42" width="12.00390625" style="0" customWidth="1"/>
    <col min="43" max="43" width="12.125" style="0" customWidth="1"/>
    <col min="44" max="44" width="12.375" style="0" customWidth="1"/>
    <col min="45" max="45" width="12.75390625" style="0" customWidth="1"/>
    <col min="51" max="51" width="23.875" style="0" customWidth="1"/>
    <col min="52" max="52" width="15.75390625" style="0" customWidth="1"/>
    <col min="53" max="53" width="17.625" style="0" customWidth="1"/>
    <col min="54" max="54" width="16.00390625" style="0" customWidth="1"/>
  </cols>
  <sheetData>
    <row r="1" spans="1:113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113" ht="12.75">
      <c r="A2" s="47"/>
      <c r="B2" s="47"/>
      <c r="C2" s="47"/>
      <c r="D2" s="47" t="s">
        <v>87</v>
      </c>
      <c r="E2" s="47"/>
      <c r="F2" s="47"/>
      <c r="G2" s="47"/>
      <c r="H2" s="47"/>
      <c r="I2" s="47"/>
      <c r="J2" s="47"/>
      <c r="K2" s="47"/>
      <c r="L2" s="47"/>
      <c r="M2" s="47" t="s">
        <v>171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184</v>
      </c>
      <c r="AC2" s="47"/>
      <c r="AD2" s="47"/>
      <c r="AE2" s="47"/>
      <c r="AF2" s="47"/>
      <c r="AG2" s="47"/>
      <c r="AH2" s="47"/>
      <c r="AI2" s="47"/>
      <c r="AJ2" s="47"/>
      <c r="AK2" s="47" t="s">
        <v>184</v>
      </c>
      <c r="AL2" s="47"/>
      <c r="AM2" s="47"/>
      <c r="AN2" s="47"/>
      <c r="AO2" s="47"/>
      <c r="AP2" s="47"/>
      <c r="AQ2" s="47"/>
      <c r="AR2" s="47"/>
      <c r="AS2" s="47"/>
      <c r="AT2" s="64" t="s">
        <v>262</v>
      </c>
      <c r="AU2" s="47"/>
      <c r="AV2" s="47"/>
      <c r="AW2" s="47"/>
      <c r="AX2" s="47"/>
      <c r="AY2" s="47"/>
      <c r="AZ2" s="47"/>
      <c r="BA2" s="47"/>
      <c r="BB2" s="47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2.75">
      <c r="A3" s="47"/>
      <c r="B3" s="47"/>
      <c r="C3" s="47"/>
      <c r="D3" s="47" t="s">
        <v>88</v>
      </c>
      <c r="E3" s="47"/>
      <c r="F3" s="47"/>
      <c r="G3" s="47"/>
      <c r="H3" s="47"/>
      <c r="I3" s="47"/>
      <c r="J3" s="47"/>
      <c r="K3" s="47"/>
      <c r="L3" s="47"/>
      <c r="M3" s="47" t="s">
        <v>172</v>
      </c>
      <c r="N3" s="47"/>
      <c r="O3" s="47"/>
      <c r="P3" s="47"/>
      <c r="Q3" s="47"/>
      <c r="R3" s="47"/>
      <c r="S3" s="47" t="s">
        <v>184</v>
      </c>
      <c r="T3" s="47"/>
      <c r="U3" s="47"/>
      <c r="V3" s="47"/>
      <c r="W3" s="47"/>
      <c r="X3" s="47"/>
      <c r="Y3" s="47"/>
      <c r="Z3" s="47"/>
      <c r="AA3" s="47"/>
      <c r="AB3" s="47" t="s">
        <v>183</v>
      </c>
      <c r="AC3" s="47"/>
      <c r="AD3" s="47"/>
      <c r="AE3" s="47"/>
      <c r="AF3" s="47"/>
      <c r="AG3" s="47"/>
      <c r="AH3" s="47"/>
      <c r="AI3" s="47"/>
      <c r="AJ3" s="47"/>
      <c r="AK3" s="47" t="s">
        <v>183</v>
      </c>
      <c r="AL3" s="47"/>
      <c r="AM3" s="47"/>
      <c r="AN3" s="47"/>
      <c r="AO3" s="47"/>
      <c r="AP3" s="47"/>
      <c r="AQ3" s="47"/>
      <c r="AR3" s="47"/>
      <c r="AS3" s="47"/>
      <c r="AT3" s="64" t="s">
        <v>264</v>
      </c>
      <c r="AU3" s="47"/>
      <c r="AV3" s="47"/>
      <c r="AW3" s="47"/>
      <c r="AX3" s="47"/>
      <c r="AY3" s="47"/>
      <c r="AZ3" s="47"/>
      <c r="BA3" s="47"/>
      <c r="BB3" s="47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183</v>
      </c>
      <c r="T4" s="47"/>
      <c r="U4" s="47"/>
      <c r="V4" s="47"/>
      <c r="W4" s="47"/>
      <c r="X4" s="47"/>
      <c r="Y4" s="47"/>
      <c r="Z4" s="47"/>
      <c r="AA4" s="47"/>
      <c r="AB4" s="47" t="s">
        <v>185</v>
      </c>
      <c r="AC4" s="47"/>
      <c r="AD4" s="47"/>
      <c r="AE4" s="47"/>
      <c r="AF4" s="47"/>
      <c r="AG4" s="47"/>
      <c r="AH4" s="47"/>
      <c r="AI4" s="47"/>
      <c r="AJ4" s="47"/>
      <c r="AK4" s="47" t="s">
        <v>185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207</v>
      </c>
      <c r="AV4" s="47"/>
      <c r="AW4" s="47"/>
      <c r="AX4" s="47"/>
      <c r="AY4" s="144" t="s">
        <v>11</v>
      </c>
      <c r="AZ4" s="144" t="s">
        <v>288</v>
      </c>
      <c r="BA4" s="47"/>
      <c r="BB4" s="47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ht="12.75">
      <c r="A5" s="47"/>
      <c r="B5" s="47"/>
      <c r="C5" s="47" t="s">
        <v>89</v>
      </c>
      <c r="D5" s="47"/>
      <c r="E5" s="47"/>
      <c r="F5" s="47"/>
      <c r="G5" s="47"/>
      <c r="H5" s="47"/>
      <c r="I5" s="47"/>
      <c r="J5" s="47"/>
      <c r="K5" s="47"/>
      <c r="L5" s="47" t="s">
        <v>89</v>
      </c>
      <c r="M5" s="47"/>
      <c r="N5" s="47"/>
      <c r="O5" s="47"/>
      <c r="P5" s="47"/>
      <c r="Q5" s="47"/>
      <c r="R5" s="47"/>
      <c r="S5" s="47" t="s">
        <v>185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209</v>
      </c>
      <c r="AV5" s="51"/>
      <c r="AW5" s="51"/>
      <c r="AX5" s="51"/>
      <c r="AY5" s="51"/>
      <c r="AZ5" s="50" t="s">
        <v>210</v>
      </c>
      <c r="BA5" s="50" t="s">
        <v>211</v>
      </c>
      <c r="BB5" s="48" t="s">
        <v>198</v>
      </c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ht="12.75">
      <c r="A6" s="47"/>
      <c r="B6" s="47"/>
      <c r="C6" s="47"/>
      <c r="D6" s="167" t="s">
        <v>298</v>
      </c>
      <c r="E6" s="167"/>
      <c r="F6" s="47"/>
      <c r="G6" s="47"/>
      <c r="H6" s="47"/>
      <c r="I6" s="47"/>
      <c r="J6" s="47"/>
      <c r="K6" s="47"/>
      <c r="L6" s="47"/>
      <c r="M6" s="167" t="s">
        <v>298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212</v>
      </c>
      <c r="BA6" s="63" t="s">
        <v>73</v>
      </c>
      <c r="BB6" s="74" t="s">
        <v>12</v>
      </c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ht="12.75">
      <c r="A7" s="47" t="s">
        <v>260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74</v>
      </c>
      <c r="BA7" s="46"/>
      <c r="BB7" s="49" t="s">
        <v>13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ht="12.75">
      <c r="A8" s="47" t="s">
        <v>90</v>
      </c>
      <c r="B8" s="47"/>
      <c r="C8" s="47"/>
      <c r="D8" s="47"/>
      <c r="E8" s="47"/>
      <c r="F8" s="47"/>
      <c r="G8" s="47"/>
      <c r="H8" s="47"/>
      <c r="I8" s="47"/>
      <c r="J8" s="47" t="s">
        <v>260</v>
      </c>
      <c r="K8" s="47"/>
      <c r="L8" s="47"/>
      <c r="M8" s="47"/>
      <c r="N8" s="47"/>
      <c r="O8" s="47"/>
      <c r="P8" s="47"/>
      <c r="Q8" s="47"/>
      <c r="R8" s="47"/>
      <c r="S8" s="47" t="s">
        <v>196</v>
      </c>
      <c r="T8" s="47"/>
      <c r="U8" s="47"/>
      <c r="V8" s="47"/>
      <c r="W8" s="47"/>
      <c r="X8" s="47"/>
      <c r="Y8" s="47"/>
      <c r="Z8" s="47"/>
      <c r="AA8" s="47"/>
      <c r="AB8" s="47" t="s">
        <v>196</v>
      </c>
      <c r="AC8" s="47"/>
      <c r="AD8" s="47"/>
      <c r="AE8" s="47"/>
      <c r="AF8" s="47"/>
      <c r="AG8" s="47"/>
      <c r="AH8" s="47"/>
      <c r="AI8" s="47"/>
      <c r="AJ8" s="47"/>
      <c r="AK8" s="47" t="s">
        <v>196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I16+I17+I20+I22+I77</f>
        <v>14098421.8</v>
      </c>
      <c r="BA8" s="168"/>
      <c r="BB8" s="169">
        <f>BB9+BB14</f>
        <v>20600637.45832</v>
      </c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ht="12.75">
      <c r="A9" s="47" t="s">
        <v>92</v>
      </c>
      <c r="B9" s="47"/>
      <c r="C9" s="47"/>
      <c r="D9" s="47"/>
      <c r="E9" s="47"/>
      <c r="F9" s="47" t="s">
        <v>91</v>
      </c>
      <c r="G9" s="47"/>
      <c r="H9" s="47"/>
      <c r="I9" s="47"/>
      <c r="J9" s="47" t="s">
        <v>90</v>
      </c>
      <c r="K9" s="47"/>
      <c r="L9" s="47"/>
      <c r="M9" s="47"/>
      <c r="N9" s="47"/>
      <c r="O9" s="47" t="s">
        <v>91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200</v>
      </c>
      <c r="AU9" s="146"/>
      <c r="AV9" s="146"/>
      <c r="AW9" s="146"/>
      <c r="AX9" s="51"/>
      <c r="AY9" s="52"/>
      <c r="AZ9" s="170">
        <f>AZ11+AZ12</f>
        <v>6470235</v>
      </c>
      <c r="BA9" s="171">
        <f>(BB12+BB11)/AZ9</f>
        <v>3.1835152017971526</v>
      </c>
      <c r="BB9" s="169">
        <f>BB10+BB11+BB12+BB13</f>
        <v>20598091.4817</v>
      </c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ht="12.75">
      <c r="A10" s="48" t="s">
        <v>187</v>
      </c>
      <c r="B10" s="73" t="s">
        <v>93</v>
      </c>
      <c r="C10" s="48" t="s">
        <v>94</v>
      </c>
      <c r="D10" s="116" t="s">
        <v>169</v>
      </c>
      <c r="E10" s="117"/>
      <c r="F10" s="48" t="s">
        <v>95</v>
      </c>
      <c r="G10" s="48" t="s">
        <v>208</v>
      </c>
      <c r="H10" s="48" t="s">
        <v>96</v>
      </c>
      <c r="I10" s="48" t="s">
        <v>86</v>
      </c>
      <c r="J10" s="47" t="s">
        <v>92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300</v>
      </c>
      <c r="Z10" s="47"/>
      <c r="AA10" s="47"/>
      <c r="AB10" s="47"/>
      <c r="AC10" s="47"/>
      <c r="AD10" s="47"/>
      <c r="AE10" s="47"/>
      <c r="AF10" s="47"/>
      <c r="AG10" s="47"/>
      <c r="AH10" s="167" t="s">
        <v>300</v>
      </c>
      <c r="AI10" s="47"/>
      <c r="AJ10" s="47"/>
      <c r="AK10" s="47"/>
      <c r="AL10" s="47"/>
      <c r="AM10" s="47"/>
      <c r="AN10" s="47"/>
      <c r="AO10" s="47"/>
      <c r="AP10" s="47"/>
      <c r="AQ10" s="167" t="s">
        <v>300</v>
      </c>
      <c r="AR10" s="47"/>
      <c r="AS10" s="47"/>
      <c r="AT10" s="50" t="s">
        <v>75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ht="12.75">
      <c r="A11" s="74"/>
      <c r="B11" s="74"/>
      <c r="C11" s="74"/>
      <c r="D11" s="48" t="s">
        <v>97</v>
      </c>
      <c r="E11" s="50" t="s">
        <v>98</v>
      </c>
      <c r="F11" s="74" t="s">
        <v>99</v>
      </c>
      <c r="G11" s="74" t="s">
        <v>85</v>
      </c>
      <c r="H11" s="74"/>
      <c r="I11" s="74" t="s">
        <v>100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76</v>
      </c>
      <c r="AU11" s="51"/>
      <c r="AV11" s="51"/>
      <c r="AW11" s="51"/>
      <c r="AX11" s="51"/>
      <c r="AY11" s="52"/>
      <c r="AZ11" s="60">
        <f>I81+I73</f>
        <v>5440</v>
      </c>
      <c r="BA11" s="175">
        <v>4.91285</v>
      </c>
      <c r="BB11" s="174">
        <f>AZ11*BA11</f>
        <v>26725.904</v>
      </c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</row>
    <row r="12" spans="1:113" ht="12.75">
      <c r="A12" s="49"/>
      <c r="B12" s="49"/>
      <c r="C12" s="49"/>
      <c r="D12" s="49" t="s">
        <v>101</v>
      </c>
      <c r="E12" s="46" t="s">
        <v>101</v>
      </c>
      <c r="F12" s="49" t="s">
        <v>102</v>
      </c>
      <c r="G12" s="49"/>
      <c r="H12" s="49"/>
      <c r="I12" s="49"/>
      <c r="J12" s="48" t="s">
        <v>187</v>
      </c>
      <c r="K12" s="73" t="s">
        <v>93</v>
      </c>
      <c r="L12" s="48" t="s">
        <v>94</v>
      </c>
      <c r="M12" s="116" t="s">
        <v>224</v>
      </c>
      <c r="N12" s="117"/>
      <c r="O12" s="48" t="s">
        <v>95</v>
      </c>
      <c r="P12" s="48" t="s">
        <v>208</v>
      </c>
      <c r="Q12" s="48" t="s">
        <v>96</v>
      </c>
      <c r="R12" s="48" t="s">
        <v>86</v>
      </c>
      <c r="S12" s="48" t="s">
        <v>187</v>
      </c>
      <c r="T12" s="50" t="s">
        <v>188</v>
      </c>
      <c r="U12" s="51"/>
      <c r="V12" s="52"/>
      <c r="W12" s="45" t="s">
        <v>189</v>
      </c>
      <c r="X12" s="55"/>
      <c r="Y12" s="55"/>
      <c r="Z12" s="55"/>
      <c r="AA12" s="56"/>
      <c r="AB12" s="48" t="s">
        <v>187</v>
      </c>
      <c r="AC12" s="50" t="s">
        <v>188</v>
      </c>
      <c r="AD12" s="51"/>
      <c r="AE12" s="52"/>
      <c r="AF12" s="45" t="s">
        <v>189</v>
      </c>
      <c r="AG12" s="55"/>
      <c r="AH12" s="55"/>
      <c r="AI12" s="55"/>
      <c r="AJ12" s="56"/>
      <c r="AK12" s="48" t="s">
        <v>187</v>
      </c>
      <c r="AL12" s="50" t="s">
        <v>188</v>
      </c>
      <c r="AM12" s="51"/>
      <c r="AN12" s="52"/>
      <c r="AO12" s="45" t="s">
        <v>189</v>
      </c>
      <c r="AP12" s="55"/>
      <c r="AQ12" s="55"/>
      <c r="AR12" s="55"/>
      <c r="AS12" s="56"/>
      <c r="AT12" s="50" t="s">
        <v>77</v>
      </c>
      <c r="AU12" s="51"/>
      <c r="AV12" s="51"/>
      <c r="AW12" s="51"/>
      <c r="AX12" s="51"/>
      <c r="AY12" s="52"/>
      <c r="AZ12" s="170">
        <f>I75</f>
        <v>6464795</v>
      </c>
      <c r="BA12" s="176">
        <v>3.18206</v>
      </c>
      <c r="BB12" s="174">
        <f>AZ12*BA12</f>
        <v>20571365.5777</v>
      </c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97</v>
      </c>
      <c r="N13" s="50" t="s">
        <v>98</v>
      </c>
      <c r="O13" s="74" t="s">
        <v>99</v>
      </c>
      <c r="P13" s="74" t="s">
        <v>85</v>
      </c>
      <c r="Q13" s="74"/>
      <c r="R13" s="74" t="s">
        <v>100</v>
      </c>
      <c r="S13" s="49"/>
      <c r="T13" s="46"/>
      <c r="U13" s="53"/>
      <c r="V13" s="54"/>
      <c r="W13" s="57" t="s">
        <v>190</v>
      </c>
      <c r="X13" s="57" t="s">
        <v>191</v>
      </c>
      <c r="Y13" s="57" t="s">
        <v>192</v>
      </c>
      <c r="Z13" s="57" t="s">
        <v>193</v>
      </c>
      <c r="AA13" s="57" t="s">
        <v>194</v>
      </c>
      <c r="AB13" s="49"/>
      <c r="AC13" s="46"/>
      <c r="AD13" s="53"/>
      <c r="AE13" s="54"/>
      <c r="AF13" s="57" t="s">
        <v>190</v>
      </c>
      <c r="AG13" s="57" t="s">
        <v>191</v>
      </c>
      <c r="AH13" s="57" t="s">
        <v>192</v>
      </c>
      <c r="AI13" s="57" t="s">
        <v>193</v>
      </c>
      <c r="AJ13" s="57" t="s">
        <v>194</v>
      </c>
      <c r="AK13" s="49"/>
      <c r="AL13" s="46"/>
      <c r="AM13" s="53"/>
      <c r="AN13" s="54"/>
      <c r="AO13" s="57" t="s">
        <v>190</v>
      </c>
      <c r="AP13" s="57" t="s">
        <v>191</v>
      </c>
      <c r="AQ13" s="57" t="s">
        <v>192</v>
      </c>
      <c r="AR13" s="57" t="s">
        <v>193</v>
      </c>
      <c r="AS13" s="57" t="s">
        <v>194</v>
      </c>
      <c r="AT13" s="45" t="s">
        <v>70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ht="12.75">
      <c r="A14" s="46"/>
      <c r="B14" s="53"/>
      <c r="C14" s="209" t="s">
        <v>103</v>
      </c>
      <c r="D14" s="209"/>
      <c r="E14" s="53"/>
      <c r="F14" s="53"/>
      <c r="G14" s="53"/>
      <c r="H14" s="53"/>
      <c r="I14" s="54"/>
      <c r="J14" s="49"/>
      <c r="K14" s="49"/>
      <c r="L14" s="49"/>
      <c r="M14" s="49" t="s">
        <v>101</v>
      </c>
      <c r="N14" s="46" t="s">
        <v>101</v>
      </c>
      <c r="O14" s="49" t="s">
        <v>102</v>
      </c>
      <c r="P14" s="49"/>
      <c r="Q14" s="49"/>
      <c r="R14" s="49"/>
      <c r="S14" s="57">
        <v>1</v>
      </c>
      <c r="T14" s="44" t="s">
        <v>61</v>
      </c>
      <c r="U14" s="44"/>
      <c r="V14" s="44"/>
      <c r="W14" s="60">
        <f aca="true" t="shared" si="0" ref="W14:W25">SUM(X14:AA14)</f>
        <v>7339606</v>
      </c>
      <c r="X14" s="60">
        <f>SUM(X15:X26)</f>
        <v>6271367</v>
      </c>
      <c r="Y14" s="60">
        <f>SUM(Y15:Y27)</f>
        <v>0</v>
      </c>
      <c r="Z14" s="60">
        <f>SUM(Z15:Z26)</f>
        <v>1068239</v>
      </c>
      <c r="AA14" s="57">
        <f>SUM(AA15:AA27)</f>
        <v>0</v>
      </c>
      <c r="AB14" s="57"/>
      <c r="AC14" s="44" t="s">
        <v>41</v>
      </c>
      <c r="AD14" s="44"/>
      <c r="AE14" s="44"/>
      <c r="AF14" s="67">
        <f>SUM(AG14:AJ14)</f>
        <v>204515</v>
      </c>
      <c r="AG14" s="60">
        <f>SUM(AG16:AG22)</f>
        <v>195193</v>
      </c>
      <c r="AH14" s="60">
        <f>SUM(AH16:AH22)</f>
        <v>0</v>
      </c>
      <c r="AI14" s="60">
        <f>SUM(AI16:AI22)</f>
        <v>9322</v>
      </c>
      <c r="AJ14" s="57">
        <f>SUM(AJ16:AJ22)</f>
        <v>0</v>
      </c>
      <c r="AK14" s="73">
        <v>1</v>
      </c>
      <c r="AL14" s="48" t="s">
        <v>41</v>
      </c>
      <c r="AM14" s="48"/>
      <c r="AN14" s="48"/>
      <c r="AO14" s="75">
        <f>SUM(AP14:AS14)</f>
        <v>84054</v>
      </c>
      <c r="AP14" s="75">
        <f>SUM(AP16:AP17)</f>
        <v>0</v>
      </c>
      <c r="AQ14" s="75">
        <f>SUM(AQ16:AQ17)</f>
        <v>0</v>
      </c>
      <c r="AR14" s="75">
        <f>ROUND(SUM(AR16:AR20),0)</f>
        <v>84054</v>
      </c>
      <c r="AS14" s="73">
        <f>SUM(AS16:AS17)</f>
        <v>0</v>
      </c>
      <c r="AT14" s="49" t="s">
        <v>214</v>
      </c>
      <c r="AU14" s="49"/>
      <c r="AV14" s="49"/>
      <c r="AW14" s="49"/>
      <c r="AX14" s="49"/>
      <c r="AY14" s="49"/>
      <c r="AZ14" s="170">
        <f>SUM(AZ15:AZ21)</f>
        <v>599</v>
      </c>
      <c r="BA14" s="177"/>
      <c r="BB14" s="174">
        <f>SUM(BB15:BB21)</f>
        <v>2545.9766200000004</v>
      </c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ht="12.75">
      <c r="A15" s="46"/>
      <c r="B15" s="45" t="s">
        <v>253</v>
      </c>
      <c r="C15" s="209"/>
      <c r="D15" s="209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47</v>
      </c>
      <c r="T15" s="50" t="s">
        <v>26</v>
      </c>
      <c r="U15" s="51"/>
      <c r="V15" s="51"/>
      <c r="W15" s="67">
        <f t="shared" si="0"/>
        <v>3998440</v>
      </c>
      <c r="X15" s="88">
        <f>ROUND(I20,0)</f>
        <v>3998440</v>
      </c>
      <c r="Y15" s="73">
        <v>0</v>
      </c>
      <c r="Z15" s="73">
        <v>0</v>
      </c>
      <c r="AA15" s="73">
        <v>0</v>
      </c>
      <c r="AB15" s="73">
        <v>1</v>
      </c>
      <c r="AC15" s="50" t="s">
        <v>273</v>
      </c>
      <c r="AD15" s="51"/>
      <c r="AE15" s="52"/>
      <c r="AF15" s="66"/>
      <c r="AG15" s="69"/>
      <c r="AH15" s="69"/>
      <c r="AI15" s="69"/>
      <c r="AJ15" s="192"/>
      <c r="AK15" s="208"/>
      <c r="AL15" s="50" t="s">
        <v>275</v>
      </c>
      <c r="AM15" s="51"/>
      <c r="AN15" s="52"/>
      <c r="AO15" s="75"/>
      <c r="AP15" s="73"/>
      <c r="AQ15" s="73"/>
      <c r="AR15" s="75"/>
      <c r="AS15" s="73"/>
      <c r="AT15" s="52" t="s">
        <v>71</v>
      </c>
      <c r="AU15" s="48"/>
      <c r="AV15" s="48"/>
      <c r="AW15" s="48"/>
      <c r="AX15" s="48"/>
      <c r="AY15" s="48"/>
      <c r="AZ15" s="60">
        <f>AS57-AZ16</f>
        <v>0</v>
      </c>
      <c r="BA15" s="178"/>
      <c r="BB15" s="174">
        <f>AZ15*BA15</f>
        <v>0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ht="12.75">
      <c r="A16" s="73">
        <v>1</v>
      </c>
      <c r="B16" s="48" t="s">
        <v>143</v>
      </c>
      <c r="C16" s="90">
        <v>804152757</v>
      </c>
      <c r="D16" s="121">
        <v>5178.2875</v>
      </c>
      <c r="E16" s="121">
        <v>5290.3634</v>
      </c>
      <c r="F16" s="60">
        <v>36000</v>
      </c>
      <c r="G16" s="142">
        <f>E16-D16</f>
        <v>112.07589999999982</v>
      </c>
      <c r="H16" s="44"/>
      <c r="I16" s="60">
        <f>ROUND((F16*G16+H16),0)</f>
        <v>4034732</v>
      </c>
      <c r="J16" s="46"/>
      <c r="K16" s="53"/>
      <c r="L16" s="53" t="s">
        <v>103</v>
      </c>
      <c r="M16" s="53"/>
      <c r="N16" s="53"/>
      <c r="O16" s="53"/>
      <c r="P16" s="53"/>
      <c r="Q16" s="53"/>
      <c r="R16" s="54"/>
      <c r="S16" s="61" t="s">
        <v>48</v>
      </c>
      <c r="T16" s="63" t="s">
        <v>27</v>
      </c>
      <c r="U16" s="64"/>
      <c r="V16" s="64"/>
      <c r="W16" s="67">
        <f t="shared" si="0"/>
        <v>197566</v>
      </c>
      <c r="X16" s="81">
        <f>ROUND(I27,0)</f>
        <v>197566</v>
      </c>
      <c r="Y16" s="70">
        <v>0</v>
      </c>
      <c r="Z16" s="67">
        <v>0</v>
      </c>
      <c r="AA16" s="70">
        <v>0</v>
      </c>
      <c r="AB16" s="61" t="s">
        <v>47</v>
      </c>
      <c r="AC16" s="63" t="s">
        <v>195</v>
      </c>
      <c r="AD16" s="64"/>
      <c r="AE16" s="65"/>
      <c r="AF16" s="67">
        <f>AG16+AH16+AI16+AJ16</f>
        <v>195193</v>
      </c>
      <c r="AG16" s="67">
        <v>195193</v>
      </c>
      <c r="AH16" s="70">
        <v>0</v>
      </c>
      <c r="AI16" s="67">
        <v>0</v>
      </c>
      <c r="AJ16" s="87">
        <v>0</v>
      </c>
      <c r="AK16" s="61" t="s">
        <v>47</v>
      </c>
      <c r="AL16" s="63" t="s">
        <v>14</v>
      </c>
      <c r="AM16" s="64"/>
      <c r="AN16" s="65"/>
      <c r="AO16" s="67">
        <f>AP16+AQ16+AR16+AS16</f>
        <v>232</v>
      </c>
      <c r="AP16" s="70">
        <v>0</v>
      </c>
      <c r="AQ16" s="70">
        <v>0</v>
      </c>
      <c r="AR16" s="67">
        <v>232</v>
      </c>
      <c r="AS16" s="70">
        <v>0</v>
      </c>
      <c r="AT16" s="52" t="s">
        <v>71</v>
      </c>
      <c r="AU16" s="48"/>
      <c r="AV16" s="48"/>
      <c r="AW16" s="48"/>
      <c r="AX16" s="48"/>
      <c r="AY16" s="48"/>
      <c r="AZ16" s="60">
        <f>AS57/100*80</f>
        <v>0</v>
      </c>
      <c r="BA16" s="179"/>
      <c r="BB16" s="174">
        <f>AZ16*BA16</f>
        <v>0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ht="12.75">
      <c r="A17" s="49"/>
      <c r="B17" s="46" t="s">
        <v>144</v>
      </c>
      <c r="C17" s="106">
        <v>109054169</v>
      </c>
      <c r="D17" s="121">
        <v>7930.4065</v>
      </c>
      <c r="E17" s="121">
        <v>8096.3993</v>
      </c>
      <c r="F17" s="60">
        <v>36000</v>
      </c>
      <c r="G17" s="142">
        <f>E17-D17</f>
        <v>165.9928</v>
      </c>
      <c r="H17" s="44"/>
      <c r="I17" s="60">
        <f>F17*G17+H17</f>
        <v>5975740.8</v>
      </c>
      <c r="J17" s="44"/>
      <c r="K17" s="45" t="s">
        <v>104</v>
      </c>
      <c r="L17" s="55"/>
      <c r="M17" s="55"/>
      <c r="N17" s="55"/>
      <c r="O17" s="55"/>
      <c r="P17" s="55"/>
      <c r="Q17" s="55"/>
      <c r="R17" s="56"/>
      <c r="S17" s="61" t="s">
        <v>49</v>
      </c>
      <c r="T17" s="63" t="s">
        <v>28</v>
      </c>
      <c r="U17" s="64"/>
      <c r="V17" s="64"/>
      <c r="W17" s="67">
        <f t="shared" si="0"/>
        <v>293549</v>
      </c>
      <c r="X17" s="81">
        <f>ROUND(I29,0)</f>
        <v>293549</v>
      </c>
      <c r="Y17" s="70">
        <v>0</v>
      </c>
      <c r="Z17" s="67">
        <v>0</v>
      </c>
      <c r="AA17" s="70">
        <v>0</v>
      </c>
      <c r="AB17" s="61" t="s">
        <v>48</v>
      </c>
      <c r="AC17" s="63" t="s">
        <v>69</v>
      </c>
      <c r="AD17" s="64"/>
      <c r="AE17" s="65"/>
      <c r="AF17" s="67">
        <f>AG17+AH17+AI17+AJ17</f>
        <v>2283</v>
      </c>
      <c r="AG17" s="70">
        <v>0</v>
      </c>
      <c r="AH17" s="70">
        <v>0</v>
      </c>
      <c r="AI17" s="67">
        <v>2283</v>
      </c>
      <c r="AJ17" s="87">
        <v>0</v>
      </c>
      <c r="AK17" s="61" t="s">
        <v>48</v>
      </c>
      <c r="AL17" s="63" t="s">
        <v>163</v>
      </c>
      <c r="AM17" s="64"/>
      <c r="AN17" s="65"/>
      <c r="AO17" s="67">
        <f>AP17+AQ17+AR17+AS17</f>
        <v>2906</v>
      </c>
      <c r="AP17" s="70">
        <v>0</v>
      </c>
      <c r="AQ17" s="70">
        <v>0</v>
      </c>
      <c r="AR17" s="67">
        <v>2906</v>
      </c>
      <c r="AS17" s="70">
        <v>0</v>
      </c>
      <c r="AT17" s="51" t="s">
        <v>43</v>
      </c>
      <c r="AU17" s="51"/>
      <c r="AV17" s="51"/>
      <c r="AW17" s="51"/>
      <c r="AX17" s="51"/>
      <c r="AY17" s="52"/>
      <c r="AZ17" s="170">
        <f>R21</f>
        <v>360</v>
      </c>
      <c r="BA17" s="180">
        <v>3.41</v>
      </c>
      <c r="BB17" s="174">
        <f>AZ17*BA17</f>
        <v>1227.6000000000001</v>
      </c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ht="12.75">
      <c r="A18" s="45"/>
      <c r="B18" s="55"/>
      <c r="C18" s="53"/>
      <c r="D18" s="55"/>
      <c r="E18" s="55"/>
      <c r="F18" s="107" t="s">
        <v>106</v>
      </c>
      <c r="G18" s="55"/>
      <c r="H18" s="56"/>
      <c r="I18" s="60">
        <f>ROUND((I16+I17+I22),0)</f>
        <v>10094542</v>
      </c>
      <c r="J18" s="57">
        <v>1</v>
      </c>
      <c r="K18" s="45" t="s">
        <v>105</v>
      </c>
      <c r="L18" s="55"/>
      <c r="M18" s="55"/>
      <c r="N18" s="55"/>
      <c r="O18" s="55"/>
      <c r="P18" s="55"/>
      <c r="Q18" s="55"/>
      <c r="R18" s="56"/>
      <c r="S18" s="61" t="s">
        <v>50</v>
      </c>
      <c r="T18" s="63" t="s">
        <v>29</v>
      </c>
      <c r="U18" s="64"/>
      <c r="V18" s="64"/>
      <c r="W18" s="67">
        <f t="shared" si="0"/>
        <v>251162</v>
      </c>
      <c r="X18" s="81">
        <f>ROUND(I31,0)</f>
        <v>251162</v>
      </c>
      <c r="Y18" s="70">
        <v>0</v>
      </c>
      <c r="Z18" s="67">
        <v>0</v>
      </c>
      <c r="AA18" s="70">
        <v>0</v>
      </c>
      <c r="AB18" s="62" t="s">
        <v>49</v>
      </c>
      <c r="AC18" s="53" t="s">
        <v>58</v>
      </c>
      <c r="AD18" s="53"/>
      <c r="AE18" s="53"/>
      <c r="AF18" s="68">
        <f>AG18+AH18+AI18+AJ18</f>
        <v>7039</v>
      </c>
      <c r="AG18" s="71">
        <v>0</v>
      </c>
      <c r="AH18" s="71">
        <v>0</v>
      </c>
      <c r="AI18" s="68">
        <v>7039</v>
      </c>
      <c r="AJ18" s="207">
        <v>0</v>
      </c>
      <c r="AK18" s="61" t="s">
        <v>49</v>
      </c>
      <c r="AL18" s="63" t="s">
        <v>40</v>
      </c>
      <c r="AM18" s="64"/>
      <c r="AN18" s="65"/>
      <c r="AO18" s="67">
        <f>AP18+AQ18+AR18+AS18</f>
        <v>64874</v>
      </c>
      <c r="AP18" s="70">
        <v>0</v>
      </c>
      <c r="AQ18" s="70">
        <v>0</v>
      </c>
      <c r="AR18" s="67">
        <v>64874</v>
      </c>
      <c r="AS18" s="70">
        <v>0</v>
      </c>
      <c r="AT18" s="51" t="s">
        <v>44</v>
      </c>
      <c r="AU18" s="51"/>
      <c r="AV18" s="51"/>
      <c r="AW18" s="51"/>
      <c r="AX18" s="51"/>
      <c r="AY18" s="52"/>
      <c r="AZ18" s="170">
        <f>R22</f>
        <v>40</v>
      </c>
      <c r="BA18" s="180">
        <v>1.62</v>
      </c>
      <c r="BB18" s="174">
        <f>AZ18*BA18</f>
        <v>64.80000000000001</v>
      </c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ht="12.75">
      <c r="A19" s="44" t="s">
        <v>107</v>
      </c>
      <c r="B19" s="45" t="s">
        <v>225</v>
      </c>
      <c r="C19" s="55"/>
      <c r="D19" s="55"/>
      <c r="E19" s="55"/>
      <c r="F19" s="55"/>
      <c r="G19" s="55"/>
      <c r="H19" s="55"/>
      <c r="I19" s="56"/>
      <c r="J19" s="73" t="s">
        <v>107</v>
      </c>
      <c r="K19" s="48" t="s">
        <v>173</v>
      </c>
      <c r="L19" s="73">
        <v>16654</v>
      </c>
      <c r="M19" s="124">
        <v>6426</v>
      </c>
      <c r="N19" s="124">
        <v>6625</v>
      </c>
      <c r="O19" s="73">
        <v>1</v>
      </c>
      <c r="P19" s="148">
        <f>N19-M19</f>
        <v>199</v>
      </c>
      <c r="Q19" s="149"/>
      <c r="R19" s="75">
        <f>O19*P19+Q19</f>
        <v>199</v>
      </c>
      <c r="S19" s="61" t="s">
        <v>55</v>
      </c>
      <c r="T19" s="63" t="s">
        <v>30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50</v>
      </c>
      <c r="AL19" s="63" t="s">
        <v>60</v>
      </c>
      <c r="AM19" s="64"/>
      <c r="AN19" s="65"/>
      <c r="AO19" s="67">
        <f>AP19+AQ19+AR19+AS19</f>
        <v>839</v>
      </c>
      <c r="AP19" s="67">
        <v>0</v>
      </c>
      <c r="AQ19" s="70">
        <v>0</v>
      </c>
      <c r="AR19" s="67">
        <v>839</v>
      </c>
      <c r="AS19" s="70">
        <v>0</v>
      </c>
      <c r="AT19" s="51" t="s">
        <v>78</v>
      </c>
      <c r="AU19" s="51"/>
      <c r="AV19" s="51"/>
      <c r="AW19" s="51"/>
      <c r="AX19" s="51"/>
      <c r="AY19" s="52"/>
      <c r="AZ19" s="181">
        <f>R19+R20</f>
        <v>199</v>
      </c>
      <c r="BA19" s="175">
        <v>6.29938</v>
      </c>
      <c r="BB19" s="174">
        <f>AZ19*BA19</f>
        <v>1253.57662</v>
      </c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ht="12.75">
      <c r="A20" s="44" t="s">
        <v>109</v>
      </c>
      <c r="B20" s="44" t="s">
        <v>110</v>
      </c>
      <c r="C20" s="106">
        <v>109053225</v>
      </c>
      <c r="D20" s="121">
        <v>19743.9985</v>
      </c>
      <c r="E20" s="121">
        <v>19934.4004</v>
      </c>
      <c r="F20" s="60">
        <v>21000</v>
      </c>
      <c r="G20" s="142">
        <f>E20-D20</f>
        <v>190.4018999999971</v>
      </c>
      <c r="H20" s="44"/>
      <c r="I20" s="60">
        <f>ROUND((F20*G20+H20),0)</f>
        <v>3998440</v>
      </c>
      <c r="J20" s="49"/>
      <c r="K20" s="49" t="s">
        <v>174</v>
      </c>
      <c r="L20" s="49"/>
      <c r="M20" s="49"/>
      <c r="N20" s="49"/>
      <c r="O20" s="49"/>
      <c r="P20" s="80"/>
      <c r="Q20" s="150"/>
      <c r="R20" s="166"/>
      <c r="S20" s="61" t="s">
        <v>59</v>
      </c>
      <c r="T20" s="63" t="s">
        <v>31</v>
      </c>
      <c r="U20" s="64"/>
      <c r="V20" s="64"/>
      <c r="W20" s="67">
        <f t="shared" si="0"/>
        <v>676491</v>
      </c>
      <c r="X20" s="81">
        <f>ROUND(I35,0)</f>
        <v>676491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55</v>
      </c>
      <c r="AL20" s="46" t="s">
        <v>274</v>
      </c>
      <c r="AM20" s="53"/>
      <c r="AN20" s="54"/>
      <c r="AO20" s="68">
        <f>AP20+AQ20+AR20+AS20</f>
        <v>15203</v>
      </c>
      <c r="AP20" s="68"/>
      <c r="AQ20" s="71"/>
      <c r="AR20" s="68">
        <v>15203</v>
      </c>
      <c r="AS20" s="71"/>
      <c r="AT20" s="51" t="s">
        <v>213</v>
      </c>
      <c r="AU20" s="51"/>
      <c r="AV20" s="51"/>
      <c r="AW20" s="51"/>
      <c r="AX20" s="51"/>
      <c r="AY20" s="52"/>
      <c r="AZ20" s="170"/>
      <c r="BA20" s="180"/>
      <c r="BB20" s="169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1:113" ht="12.75">
      <c r="A21" s="44" t="s">
        <v>254</v>
      </c>
      <c r="B21" s="55" t="s">
        <v>257</v>
      </c>
      <c r="C21" s="53"/>
      <c r="D21" s="55"/>
      <c r="E21" s="55"/>
      <c r="F21" s="107"/>
      <c r="G21" s="55"/>
      <c r="H21" s="56"/>
      <c r="I21" s="60"/>
      <c r="J21" s="48" t="s">
        <v>113</v>
      </c>
      <c r="K21" s="48" t="s">
        <v>176</v>
      </c>
      <c r="L21" s="225">
        <v>122848480</v>
      </c>
      <c r="M21" s="224">
        <v>558</v>
      </c>
      <c r="N21" s="224">
        <v>576</v>
      </c>
      <c r="O21" s="57">
        <v>20</v>
      </c>
      <c r="P21" s="223">
        <f>N21-M21</f>
        <v>18</v>
      </c>
      <c r="Q21" s="151"/>
      <c r="R21" s="60">
        <f>O21*P21+Q21</f>
        <v>360</v>
      </c>
      <c r="S21" s="61" t="s">
        <v>62</v>
      </c>
      <c r="T21" s="63" t="s">
        <v>32</v>
      </c>
      <c r="U21" s="64"/>
      <c r="V21" s="64"/>
      <c r="W21" s="67">
        <f t="shared" si="0"/>
        <v>198567</v>
      </c>
      <c r="X21" s="81">
        <f>ROUND(I37,0)</f>
        <v>198567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80"/>
      <c r="BB21" s="169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1:113" ht="12.75">
      <c r="A22" s="44" t="s">
        <v>255</v>
      </c>
      <c r="B22" s="45" t="s">
        <v>258</v>
      </c>
      <c r="C22" s="55"/>
      <c r="D22" s="55"/>
      <c r="E22" s="55"/>
      <c r="F22" s="55"/>
      <c r="G22" s="55"/>
      <c r="H22" s="56"/>
      <c r="I22" s="170">
        <v>84069</v>
      </c>
      <c r="J22" s="49"/>
      <c r="K22" s="49" t="s">
        <v>175</v>
      </c>
      <c r="L22" s="225">
        <v>122848480</v>
      </c>
      <c r="M22" s="224">
        <v>151</v>
      </c>
      <c r="N22" s="224">
        <v>153</v>
      </c>
      <c r="O22" s="57">
        <v>20</v>
      </c>
      <c r="P22" s="223">
        <f>N22-M22</f>
        <v>2</v>
      </c>
      <c r="Q22" s="151"/>
      <c r="R22" s="60">
        <f>O22*P22+Q22</f>
        <v>40</v>
      </c>
      <c r="S22" s="61" t="s">
        <v>63</v>
      </c>
      <c r="T22" s="63" t="s">
        <v>33</v>
      </c>
      <c r="U22" s="64"/>
      <c r="V22" s="64"/>
      <c r="W22" s="67">
        <f t="shared" si="0"/>
        <v>655592</v>
      </c>
      <c r="X22" s="81">
        <f>ROUND(I39,0)</f>
        <v>655592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2"/>
      <c r="BB22" s="18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</row>
    <row r="23" spans="1:113" ht="12.75">
      <c r="A23" s="45"/>
      <c r="B23" s="45"/>
      <c r="C23" s="219"/>
      <c r="D23" s="220"/>
      <c r="E23" s="220"/>
      <c r="F23" s="221"/>
      <c r="G23" s="222"/>
      <c r="H23" s="56"/>
      <c r="I23" s="170"/>
      <c r="J23" s="45"/>
      <c r="K23" s="135"/>
      <c r="L23" s="135"/>
      <c r="M23" s="135"/>
      <c r="N23" s="135"/>
      <c r="O23" s="135"/>
      <c r="P23" s="136" t="s">
        <v>161</v>
      </c>
      <c r="Q23" s="137"/>
      <c r="R23" s="60">
        <f>R19+R21+R22+R20</f>
        <v>599</v>
      </c>
      <c r="S23" s="61" t="s">
        <v>64</v>
      </c>
      <c r="T23" s="63" t="s">
        <v>34</v>
      </c>
      <c r="U23" s="64"/>
      <c r="V23" s="64"/>
      <c r="W23" s="67">
        <f t="shared" si="0"/>
        <v>812479</v>
      </c>
      <c r="X23" s="81">
        <v>0</v>
      </c>
      <c r="Y23" s="70">
        <v>0</v>
      </c>
      <c r="Z23" s="67">
        <f>I26+I25</f>
        <v>812479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2"/>
      <c r="BB23" s="169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</row>
    <row r="24" spans="1:113" ht="12.75">
      <c r="A24" s="44" t="s">
        <v>113</v>
      </c>
      <c r="B24" s="46" t="s">
        <v>114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65</v>
      </c>
      <c r="T24" s="64" t="s">
        <v>35</v>
      </c>
      <c r="U24" s="64"/>
      <c r="V24" s="64"/>
      <c r="W24" s="67">
        <f t="shared" si="0"/>
        <v>35201</v>
      </c>
      <c r="X24" s="81">
        <v>0</v>
      </c>
      <c r="Y24" s="70">
        <v>0</v>
      </c>
      <c r="Z24" s="67">
        <f>I41</f>
        <v>35201</v>
      </c>
      <c r="AA24" s="70">
        <v>0</v>
      </c>
      <c r="AB24" s="58"/>
      <c r="AC24" s="47" t="s">
        <v>84</v>
      </c>
      <c r="AD24" s="47"/>
      <c r="AE24" s="47"/>
      <c r="AF24" s="59"/>
      <c r="AG24" s="59"/>
      <c r="AH24" s="59"/>
      <c r="AI24" s="59"/>
      <c r="AJ24" s="59"/>
      <c r="AK24" s="58"/>
      <c r="AL24" s="47" t="s">
        <v>164</v>
      </c>
      <c r="AM24" s="47"/>
      <c r="AN24" s="47"/>
      <c r="AO24" s="59"/>
      <c r="AP24" s="59"/>
      <c r="AQ24" s="59"/>
      <c r="AR24" s="59"/>
      <c r="AS24" s="59"/>
      <c r="AT24" s="152" t="s">
        <v>42</v>
      </c>
      <c r="AU24" s="135"/>
      <c r="AV24" s="135"/>
      <c r="AW24" s="135"/>
      <c r="AX24" s="135"/>
      <c r="AY24" s="153"/>
      <c r="AZ24" s="184"/>
      <c r="BA24" s="177"/>
      <c r="BB24" s="174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</row>
    <row r="25" spans="1:113" ht="12.75">
      <c r="A25" s="48" t="s">
        <v>115</v>
      </c>
      <c r="B25" s="48" t="s">
        <v>118</v>
      </c>
      <c r="C25" s="90"/>
      <c r="D25" s="212"/>
      <c r="E25" s="212"/>
      <c r="F25" s="68"/>
      <c r="G25" s="213"/>
      <c r="H25" s="68"/>
      <c r="I25" s="68"/>
      <c r="J25" s="63" t="s">
        <v>162</v>
      </c>
      <c r="K25" s="64"/>
      <c r="L25" s="64"/>
      <c r="M25" s="64"/>
      <c r="N25" s="64"/>
      <c r="O25" s="64"/>
      <c r="P25" s="85"/>
      <c r="Q25" s="128"/>
      <c r="R25" s="141"/>
      <c r="S25" s="61" t="s">
        <v>66</v>
      </c>
      <c r="T25" s="64" t="s">
        <v>36</v>
      </c>
      <c r="U25" s="64"/>
      <c r="V25" s="64"/>
      <c r="W25" s="67">
        <f t="shared" si="0"/>
        <v>186956</v>
      </c>
      <c r="X25" s="81">
        <v>0</v>
      </c>
      <c r="Y25" s="70">
        <v>0</v>
      </c>
      <c r="Z25" s="67">
        <f>I43</f>
        <v>186956</v>
      </c>
      <c r="AA25" s="70">
        <v>0</v>
      </c>
      <c r="AB25" s="58"/>
      <c r="AC25" s="47" t="s">
        <v>265</v>
      </c>
      <c r="AD25" s="47"/>
      <c r="AE25" s="47"/>
      <c r="AF25" s="47"/>
      <c r="AG25" s="47"/>
      <c r="AH25" s="47"/>
      <c r="AI25" s="47"/>
      <c r="AJ25" s="47"/>
      <c r="AK25" s="58"/>
      <c r="AL25" s="47" t="s">
        <v>265</v>
      </c>
      <c r="AM25" s="47"/>
      <c r="AN25" s="47"/>
      <c r="AO25" s="47"/>
      <c r="AP25" s="47"/>
      <c r="AQ25" s="47"/>
      <c r="AR25" s="47"/>
      <c r="AS25" s="47"/>
      <c r="AT25" s="46" t="s">
        <v>79</v>
      </c>
      <c r="AU25" s="53"/>
      <c r="AV25" s="53"/>
      <c r="AW25" s="53"/>
      <c r="AX25" s="53"/>
      <c r="AY25" s="54"/>
      <c r="AZ25" s="185">
        <v>7.48</v>
      </c>
      <c r="BA25" s="186">
        <v>26600</v>
      </c>
      <c r="BB25" s="174">
        <f>AZ25*BA25</f>
        <v>198968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1:113" ht="12.75">
      <c r="A26" s="49"/>
      <c r="B26" s="49" t="s">
        <v>116</v>
      </c>
      <c r="C26" s="91">
        <v>109056121</v>
      </c>
      <c r="D26" s="212">
        <v>22102.7864</v>
      </c>
      <c r="E26" s="212">
        <v>22272.0528</v>
      </c>
      <c r="F26" s="68">
        <v>4800</v>
      </c>
      <c r="G26" s="213">
        <f aca="true" t="shared" si="1" ref="G26:G43">E26-D26</f>
        <v>169.26640000000043</v>
      </c>
      <c r="H26" s="68"/>
      <c r="I26" s="68">
        <f>ROUND(F26*G26+H26,0)</f>
        <v>812479</v>
      </c>
      <c r="J26" s="114" t="s">
        <v>285</v>
      </c>
      <c r="K26" s="115"/>
      <c r="L26" s="115"/>
      <c r="M26" s="86"/>
      <c r="N26" s="53"/>
      <c r="O26" s="53"/>
      <c r="P26" s="53"/>
      <c r="Q26" s="53"/>
      <c r="R26" s="102"/>
      <c r="S26" s="62" t="s">
        <v>67</v>
      </c>
      <c r="T26" s="53" t="s">
        <v>37</v>
      </c>
      <c r="U26" s="53"/>
      <c r="V26" s="53"/>
      <c r="W26" s="68">
        <f>SUM(X26:AA26)</f>
        <v>33603</v>
      </c>
      <c r="X26" s="82">
        <v>0</v>
      </c>
      <c r="Y26" s="71">
        <v>0</v>
      </c>
      <c r="Z26" s="68">
        <f>I45+I46</f>
        <v>33603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80</v>
      </c>
      <c r="AU26" s="55"/>
      <c r="AV26" s="55"/>
      <c r="AW26" s="55"/>
      <c r="AX26" s="64"/>
      <c r="AY26" s="65"/>
      <c r="AZ26" s="185">
        <f>(X14+AG14+AP14)/1000</f>
        <v>6466.56</v>
      </c>
      <c r="BA26" s="169">
        <v>16</v>
      </c>
      <c r="BB26" s="174">
        <f>AZ26*BA26</f>
        <v>103464.96</v>
      </c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</row>
    <row r="27" spans="1:113" ht="12.75">
      <c r="A27" s="48" t="s">
        <v>117</v>
      </c>
      <c r="B27" s="48" t="s">
        <v>129</v>
      </c>
      <c r="C27" s="90">
        <v>623125232</v>
      </c>
      <c r="D27" s="214">
        <v>9329.3744</v>
      </c>
      <c r="E27" s="214">
        <v>9439.1331</v>
      </c>
      <c r="F27" s="75">
        <v>1800</v>
      </c>
      <c r="G27" s="215">
        <f t="shared" si="1"/>
        <v>109.7586999999985</v>
      </c>
      <c r="H27" s="73"/>
      <c r="I27" s="75">
        <f>ROUND(G27*F27,0)</f>
        <v>197566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81</v>
      </c>
      <c r="AU27" s="53"/>
      <c r="AV27" s="53"/>
      <c r="AW27" s="53"/>
      <c r="AX27" s="51"/>
      <c r="AY27" s="52"/>
      <c r="AZ27" s="185">
        <v>2.137</v>
      </c>
      <c r="BA27" s="169">
        <v>26600</v>
      </c>
      <c r="BB27" s="169">
        <f>AZ27*BA27</f>
        <v>56844.2</v>
      </c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1:113" ht="12.75">
      <c r="A28" s="49"/>
      <c r="B28" s="49" t="s">
        <v>116</v>
      </c>
      <c r="C28" s="71"/>
      <c r="D28" s="119"/>
      <c r="E28" s="119"/>
      <c r="F28" s="68"/>
      <c r="G28" s="118"/>
      <c r="H28" s="71"/>
      <c r="I28" s="68"/>
      <c r="J28" s="64" t="s">
        <v>165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219</v>
      </c>
      <c r="AC28" s="47"/>
      <c r="AD28" s="47"/>
      <c r="AE28" s="47"/>
      <c r="AF28" s="47"/>
      <c r="AG28" s="47" t="s">
        <v>220</v>
      </c>
      <c r="AH28" s="47"/>
      <c r="AI28" s="47" t="s">
        <v>221</v>
      </c>
      <c r="AJ28" s="47"/>
      <c r="AK28" s="47" t="s">
        <v>219</v>
      </c>
      <c r="AL28" s="47"/>
      <c r="AM28" s="47"/>
      <c r="AN28" s="47"/>
      <c r="AO28" s="47"/>
      <c r="AP28" s="47" t="s">
        <v>53</v>
      </c>
      <c r="AQ28" s="47"/>
      <c r="AR28" s="47" t="s">
        <v>54</v>
      </c>
      <c r="AS28" s="47"/>
      <c r="AT28" s="63" t="s">
        <v>82</v>
      </c>
      <c r="AU28" s="64"/>
      <c r="AV28" s="64"/>
      <c r="AW28" s="64"/>
      <c r="AX28" s="51"/>
      <c r="AY28" s="52"/>
      <c r="AZ28" s="185">
        <f>(Z14+AI14+AR14)/1000</f>
        <v>1161.615</v>
      </c>
      <c r="BA28" s="169">
        <v>16</v>
      </c>
      <c r="BB28" s="174">
        <f>AZ28*BA28</f>
        <v>18585.84</v>
      </c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</row>
    <row r="29" spans="1:113" ht="12.75">
      <c r="A29" s="48" t="s">
        <v>119</v>
      </c>
      <c r="B29" s="48" t="s">
        <v>130</v>
      </c>
      <c r="C29" s="90">
        <v>623125667</v>
      </c>
      <c r="D29" s="214">
        <v>11771.9337</v>
      </c>
      <c r="E29" s="214">
        <v>11935.0164</v>
      </c>
      <c r="F29" s="75">
        <v>1800</v>
      </c>
      <c r="G29" s="215">
        <f t="shared" si="1"/>
        <v>163.08270000000084</v>
      </c>
      <c r="H29" s="73"/>
      <c r="I29" s="75">
        <f>ROUND(G29*F29,0)</f>
        <v>293549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286</v>
      </c>
      <c r="AC29" s="47"/>
      <c r="AD29" s="47"/>
      <c r="AE29" s="47"/>
      <c r="AF29" s="47"/>
      <c r="AG29" s="47" t="s">
        <v>52</v>
      </c>
      <c r="AH29" s="47"/>
      <c r="AI29" s="47"/>
      <c r="AJ29" s="47"/>
      <c r="AK29" s="47" t="s">
        <v>286</v>
      </c>
      <c r="AL29" s="47"/>
      <c r="AM29" s="47"/>
      <c r="AN29" s="47"/>
      <c r="AO29" s="47"/>
      <c r="AP29" s="47" t="s">
        <v>52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7"/>
      <c r="BB29" s="174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</row>
    <row r="30" spans="1:113" ht="12.75">
      <c r="A30" s="49"/>
      <c r="B30" s="49" t="s">
        <v>116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7"/>
      <c r="BB30" s="174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</row>
    <row r="31" spans="1:113" ht="12.75">
      <c r="A31" s="48" t="s">
        <v>120</v>
      </c>
      <c r="B31" s="48" t="s">
        <v>131</v>
      </c>
      <c r="C31" s="90">
        <v>623126370</v>
      </c>
      <c r="D31" s="214">
        <v>3116.1875</v>
      </c>
      <c r="E31" s="214">
        <v>3168.513</v>
      </c>
      <c r="F31" s="75">
        <v>4800</v>
      </c>
      <c r="G31" s="215">
        <f t="shared" si="1"/>
        <v>52.32549999999992</v>
      </c>
      <c r="H31" s="73"/>
      <c r="I31" s="75">
        <f>ROUND(G31*F31,0)</f>
        <v>251162</v>
      </c>
      <c r="J31" s="64"/>
      <c r="K31" s="64"/>
      <c r="L31" s="154"/>
      <c r="M31" s="78"/>
      <c r="N31" s="155" t="s">
        <v>166</v>
      </c>
      <c r="O31" s="155"/>
      <c r="P31" s="83"/>
      <c r="Q31" s="64"/>
      <c r="R31" s="85"/>
      <c r="S31" s="47" t="s">
        <v>219</v>
      </c>
      <c r="T31" s="47"/>
      <c r="U31" s="47"/>
      <c r="V31" s="47"/>
      <c r="W31" s="47"/>
      <c r="X31" s="47" t="s">
        <v>220</v>
      </c>
      <c r="Y31" s="47"/>
      <c r="Z31" s="47" t="s">
        <v>221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7"/>
      <c r="BB31" s="174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</row>
    <row r="32" spans="1:113" ht="12.75">
      <c r="A32" s="49"/>
      <c r="B32" s="49" t="s">
        <v>116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261</v>
      </c>
      <c r="O32" s="155"/>
      <c r="P32" s="83"/>
      <c r="Q32" s="64"/>
      <c r="R32" s="85"/>
      <c r="S32" s="47" t="s">
        <v>286</v>
      </c>
      <c r="T32" s="47"/>
      <c r="U32" s="47"/>
      <c r="V32" s="47"/>
      <c r="W32" s="47"/>
      <c r="X32" s="47" t="s">
        <v>52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217</v>
      </c>
      <c r="AU32" s="51"/>
      <c r="AV32" s="51"/>
      <c r="AW32" s="51"/>
      <c r="AX32" s="51"/>
      <c r="AY32" s="52"/>
      <c r="AZ32" s="170"/>
      <c r="BA32" s="187"/>
      <c r="BB32" s="169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</row>
    <row r="33" spans="1:113" ht="12.75">
      <c r="A33" s="48" t="s">
        <v>121</v>
      </c>
      <c r="B33" s="48" t="s">
        <v>132</v>
      </c>
      <c r="C33" s="90">
        <v>623125137</v>
      </c>
      <c r="D33" s="214">
        <v>2202.709</v>
      </c>
      <c r="E33" s="214">
        <v>2202.709</v>
      </c>
      <c r="F33" s="75">
        <v>4800</v>
      </c>
      <c r="G33" s="215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286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51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215</v>
      </c>
      <c r="AU33" s="51"/>
      <c r="AV33" s="51"/>
      <c r="AW33" s="51"/>
      <c r="AX33" s="51"/>
      <c r="AY33" s="52"/>
      <c r="AZ33" s="170"/>
      <c r="BA33" s="177"/>
      <c r="BB33" s="169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</row>
    <row r="34" spans="1:113" ht="12.75">
      <c r="A34" s="49"/>
      <c r="B34" s="49" t="s">
        <v>116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51</v>
      </c>
      <c r="AL34" s="47"/>
      <c r="AM34" s="47"/>
      <c r="AN34" s="47"/>
      <c r="AO34" s="47"/>
      <c r="AP34" s="47"/>
      <c r="AQ34" s="47"/>
      <c r="AR34" s="47"/>
      <c r="AS34" s="47"/>
      <c r="AT34" s="50" t="s">
        <v>218</v>
      </c>
      <c r="AU34" s="51"/>
      <c r="AV34" s="51"/>
      <c r="AW34" s="51"/>
      <c r="AX34" s="51"/>
      <c r="AY34" s="52"/>
      <c r="AZ34" s="170"/>
      <c r="BA34" s="182"/>
      <c r="BB34" s="169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</row>
    <row r="35" spans="1:113" ht="12.75">
      <c r="A35" s="48" t="s">
        <v>122</v>
      </c>
      <c r="B35" s="48" t="s">
        <v>133</v>
      </c>
      <c r="C35" s="90">
        <v>623125142</v>
      </c>
      <c r="D35" s="214">
        <v>15436.6586</v>
      </c>
      <c r="E35" s="214">
        <v>15718.5297</v>
      </c>
      <c r="F35" s="75">
        <v>2400</v>
      </c>
      <c r="G35" s="215">
        <f t="shared" si="1"/>
        <v>281.8710999999985</v>
      </c>
      <c r="H35" s="73"/>
      <c r="I35" s="75">
        <f>ROUND(G35*F35,0)</f>
        <v>676491</v>
      </c>
      <c r="J35" s="64"/>
      <c r="K35" s="64"/>
      <c r="L35" s="154"/>
      <c r="M35" s="78"/>
      <c r="N35" s="156" t="s">
        <v>168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68</v>
      </c>
      <c r="AC35" s="47"/>
      <c r="AD35" s="47"/>
      <c r="AE35" s="47"/>
      <c r="AF35" s="47"/>
      <c r="AG35" s="47" t="s">
        <v>39</v>
      </c>
      <c r="AH35" s="47"/>
      <c r="AI35" s="47" t="s">
        <v>38</v>
      </c>
      <c r="AJ35" s="47"/>
      <c r="AK35" s="47" t="s">
        <v>222</v>
      </c>
      <c r="AL35" s="47"/>
      <c r="AM35" s="47"/>
      <c r="AN35" s="47"/>
      <c r="AO35" s="47"/>
      <c r="AP35" s="47"/>
      <c r="AQ35" s="47" t="s">
        <v>223</v>
      </c>
      <c r="AR35" s="47"/>
      <c r="AS35" s="47"/>
      <c r="AT35" s="50" t="s">
        <v>215</v>
      </c>
      <c r="AU35" s="51"/>
      <c r="AV35" s="51"/>
      <c r="AW35" s="51"/>
      <c r="AX35" s="51"/>
      <c r="AY35" s="52"/>
      <c r="AZ35" s="170"/>
      <c r="BA35" s="182"/>
      <c r="BB35" s="169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</row>
    <row r="36" spans="1:113" ht="12.75">
      <c r="A36" s="49"/>
      <c r="B36" s="49" t="s">
        <v>116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167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83</v>
      </c>
      <c r="AC36" s="47"/>
      <c r="AD36" s="47"/>
      <c r="AE36" s="47"/>
      <c r="AF36" s="47"/>
      <c r="AG36" s="47" t="s">
        <v>52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52</v>
      </c>
      <c r="AR36" s="47"/>
      <c r="AS36" s="47"/>
      <c r="AT36" s="50" t="s">
        <v>215</v>
      </c>
      <c r="AU36" s="51"/>
      <c r="AV36" s="51"/>
      <c r="AW36" s="51"/>
      <c r="AX36" s="51"/>
      <c r="AY36" s="52"/>
      <c r="AZ36" s="170"/>
      <c r="BA36" s="182"/>
      <c r="BB36" s="169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1:113" ht="12.75">
      <c r="A37" s="48" t="s">
        <v>123</v>
      </c>
      <c r="B37" s="48" t="s">
        <v>134</v>
      </c>
      <c r="C37" s="90">
        <v>623125205</v>
      </c>
      <c r="D37" s="214">
        <v>5641.6621</v>
      </c>
      <c r="E37" s="214">
        <v>5751.9769</v>
      </c>
      <c r="F37" s="75">
        <v>1800</v>
      </c>
      <c r="G37" s="215">
        <f t="shared" si="1"/>
        <v>110.3148000000001</v>
      </c>
      <c r="H37" s="73"/>
      <c r="I37" s="75">
        <f>ROUND(G37*F37,0)</f>
        <v>198567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281</v>
      </c>
      <c r="T37" s="47"/>
      <c r="U37" s="47"/>
      <c r="V37" s="47"/>
      <c r="W37" s="47"/>
      <c r="X37" s="47" t="s">
        <v>220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182</v>
      </c>
      <c r="AU37" s="51"/>
      <c r="AV37" s="51"/>
      <c r="AW37" s="51"/>
      <c r="AX37" s="51"/>
      <c r="AY37" s="52"/>
      <c r="AZ37" s="170"/>
      <c r="BA37" s="177"/>
      <c r="BB37" s="169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</row>
    <row r="38" spans="1:113" ht="12.75">
      <c r="A38" s="49"/>
      <c r="B38" s="49" t="s">
        <v>116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52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215</v>
      </c>
      <c r="AU38" s="51"/>
      <c r="AV38" s="51" t="s">
        <v>23</v>
      </c>
      <c r="AW38" s="51"/>
      <c r="AX38" s="51"/>
      <c r="AY38" s="52"/>
      <c r="AZ38" s="170"/>
      <c r="BA38" s="182"/>
      <c r="BB38" s="169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</row>
    <row r="39" spans="1:113" ht="12.75">
      <c r="A39" s="48" t="s">
        <v>124</v>
      </c>
      <c r="B39" s="48" t="s">
        <v>135</v>
      </c>
      <c r="C39" s="90">
        <v>623123704</v>
      </c>
      <c r="D39" s="214">
        <v>9959.0758</v>
      </c>
      <c r="E39" s="214">
        <v>10323.2935</v>
      </c>
      <c r="F39" s="75">
        <v>1800</v>
      </c>
      <c r="G39" s="215">
        <f t="shared" si="1"/>
        <v>364.21769999999924</v>
      </c>
      <c r="H39" s="73"/>
      <c r="I39" s="75">
        <f>ROUND(G39*F39,0)</f>
        <v>655592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216</v>
      </c>
      <c r="AU39" s="51"/>
      <c r="AV39" s="51" t="s">
        <v>213</v>
      </c>
      <c r="AW39" s="51"/>
      <c r="AX39" s="51"/>
      <c r="AY39" s="52"/>
      <c r="AZ39" s="170"/>
      <c r="BA39" s="182"/>
      <c r="BB39" s="169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1:113" ht="12.75">
      <c r="A40" s="49"/>
      <c r="B40" s="49" t="s">
        <v>116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2"/>
      <c r="BB40" s="169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1:113" ht="12.75">
      <c r="A41" s="48" t="s">
        <v>125</v>
      </c>
      <c r="B41" s="48" t="s">
        <v>136</v>
      </c>
      <c r="C41" s="90">
        <v>623125794</v>
      </c>
      <c r="D41" s="214">
        <v>231.9842</v>
      </c>
      <c r="E41" s="214">
        <v>251.5401</v>
      </c>
      <c r="F41" s="75">
        <v>1800</v>
      </c>
      <c r="G41" s="215">
        <f t="shared" si="1"/>
        <v>19.55590000000001</v>
      </c>
      <c r="H41" s="73"/>
      <c r="I41" s="75">
        <f>ROUND(G41*F41,0)</f>
        <v>35201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2"/>
      <c r="BB41" s="169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1:113" ht="12.75">
      <c r="A42" s="49"/>
      <c r="B42" s="49" t="s">
        <v>116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7"/>
      <c r="BB42" s="169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</row>
    <row r="43" spans="1:113" ht="12.75">
      <c r="A43" s="48" t="s">
        <v>126</v>
      </c>
      <c r="B43" s="48" t="s">
        <v>137</v>
      </c>
      <c r="C43" s="90">
        <v>623125736</v>
      </c>
      <c r="D43" s="214">
        <v>5103.8156</v>
      </c>
      <c r="E43" s="214">
        <v>5259.6123</v>
      </c>
      <c r="F43" s="75">
        <v>1200</v>
      </c>
      <c r="G43" s="215">
        <f t="shared" si="1"/>
        <v>155.79669999999987</v>
      </c>
      <c r="H43" s="73"/>
      <c r="I43" s="75">
        <f>ROUND(G43*F43,0)</f>
        <v>186956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182</v>
      </c>
      <c r="AU43" s="51"/>
      <c r="AV43" s="51"/>
      <c r="AW43" s="51"/>
      <c r="AX43" s="51"/>
      <c r="AY43" s="52"/>
      <c r="AZ43" s="170"/>
      <c r="BA43" s="182"/>
      <c r="BB43" s="169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</row>
    <row r="44" spans="1:113" ht="12.75">
      <c r="A44" s="49"/>
      <c r="B44" s="49" t="s">
        <v>116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7"/>
      <c r="BB44" s="169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</row>
    <row r="45" spans="1:113" ht="12.75">
      <c r="A45" s="48" t="s">
        <v>127</v>
      </c>
      <c r="B45" s="50" t="s">
        <v>128</v>
      </c>
      <c r="C45" s="90">
        <v>1110171156</v>
      </c>
      <c r="D45" s="214">
        <v>16797.2544</v>
      </c>
      <c r="E45" s="214">
        <v>17637.3404</v>
      </c>
      <c r="F45" s="75">
        <v>40</v>
      </c>
      <c r="G45" s="215">
        <f>E45-D45</f>
        <v>840.0859999999993</v>
      </c>
      <c r="H45" s="73"/>
      <c r="I45" s="75">
        <f>ROUND(G45*F45,0)</f>
        <v>33603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7"/>
      <c r="BB45" s="169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</row>
    <row r="46" spans="1:113" ht="12.75">
      <c r="A46" s="49"/>
      <c r="B46" s="46" t="s">
        <v>116</v>
      </c>
      <c r="C46" s="91"/>
      <c r="D46" s="226"/>
      <c r="E46" s="214"/>
      <c r="F46" s="75"/>
      <c r="G46" s="215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186</v>
      </c>
      <c r="AW46" s="51"/>
      <c r="AX46" s="51"/>
      <c r="AY46" s="52"/>
      <c r="AZ46" s="170"/>
      <c r="BA46" s="187"/>
      <c r="BB46" s="169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</row>
    <row r="47" spans="1:113" ht="12.75">
      <c r="A47" s="94"/>
      <c r="B47" s="55"/>
      <c r="C47" s="86"/>
      <c r="D47" s="92"/>
      <c r="E47" s="93"/>
      <c r="F47" s="93"/>
      <c r="G47" s="108" t="s">
        <v>138</v>
      </c>
      <c r="H47" s="56"/>
      <c r="I47" s="125">
        <f>ROUND((SUM(I25:I46)+I20),0)</f>
        <v>7339606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7"/>
      <c r="BB47" s="169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</row>
    <row r="48" spans="1:113" ht="12.75">
      <c r="A48" s="48" t="s">
        <v>141</v>
      </c>
      <c r="B48" s="50" t="s">
        <v>139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7"/>
      <c r="BB48" s="169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1:113" ht="12.75">
      <c r="A49" s="74"/>
      <c r="B49" s="63" t="s">
        <v>140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186</v>
      </c>
      <c r="AW49" s="51"/>
      <c r="AX49" s="51"/>
      <c r="AY49" s="52"/>
      <c r="AZ49" s="170"/>
      <c r="BA49" s="182"/>
      <c r="BB49" s="169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  <row r="50" spans="1:113" ht="12.75">
      <c r="A50" s="50" t="s">
        <v>142</v>
      </c>
      <c r="B50" s="48" t="s">
        <v>230</v>
      </c>
      <c r="C50" s="193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266</v>
      </c>
      <c r="AW50" s="55"/>
      <c r="AX50" s="55"/>
      <c r="AY50" s="56"/>
      <c r="AZ50" s="170"/>
      <c r="BA50" s="182"/>
      <c r="BB50" s="169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</row>
    <row r="51" spans="1:113" ht="12.75">
      <c r="A51" s="63"/>
      <c r="B51" s="74"/>
      <c r="C51" s="194">
        <v>611127627</v>
      </c>
      <c r="D51" s="191">
        <v>6433.2412</v>
      </c>
      <c r="E51" s="191">
        <v>6490.4328</v>
      </c>
      <c r="F51" s="60">
        <v>40</v>
      </c>
      <c r="G51" s="142">
        <f>E51-D51</f>
        <v>57.1915999999992</v>
      </c>
      <c r="H51" s="60"/>
      <c r="I51" s="60">
        <f>ROUND(F51*G51+H51,0)</f>
        <v>2288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</row>
    <row r="52" spans="1:113" ht="12.75">
      <c r="A52" s="63"/>
      <c r="B52" s="49" t="s">
        <v>226</v>
      </c>
      <c r="C52" s="194"/>
      <c r="D52" s="195"/>
      <c r="E52" s="195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</row>
    <row r="53" spans="1:113" ht="12.75">
      <c r="A53" s="48" t="s">
        <v>145</v>
      </c>
      <c r="B53" s="65"/>
      <c r="C53" s="106">
        <v>810120245</v>
      </c>
      <c r="D53" s="191">
        <v>3796.3542</v>
      </c>
      <c r="E53" s="191">
        <v>3804.4647</v>
      </c>
      <c r="F53" s="60">
        <v>3600</v>
      </c>
      <c r="G53" s="142">
        <f>E53-D53</f>
        <v>8.110499999999774</v>
      </c>
      <c r="H53" s="60"/>
      <c r="I53" s="60">
        <f>ROUND(F53*G53+H53,0)</f>
        <v>29198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301</v>
      </c>
      <c r="AU53" s="47"/>
      <c r="AV53" s="47"/>
      <c r="AW53" s="47"/>
      <c r="AX53" s="47"/>
      <c r="AY53" s="47"/>
      <c r="AZ53" s="47"/>
      <c r="BA53" s="47"/>
      <c r="BB53" s="47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</row>
    <row r="54" spans="1:113" ht="12.75">
      <c r="A54" s="74"/>
      <c r="B54" s="65" t="s">
        <v>240</v>
      </c>
      <c r="C54" s="106"/>
      <c r="D54" s="191"/>
      <c r="E54" s="191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</row>
    <row r="55" spans="1:113" ht="12.75">
      <c r="A55" s="74"/>
      <c r="B55" s="65"/>
      <c r="C55" s="103">
        <v>4050284</v>
      </c>
      <c r="D55" s="121">
        <v>4519.9157</v>
      </c>
      <c r="E55" s="121">
        <v>4566.004</v>
      </c>
      <c r="F55" s="60">
        <v>3600</v>
      </c>
      <c r="G55" s="143">
        <f>E55-D55</f>
        <v>46.088300000000345</v>
      </c>
      <c r="H55" s="44"/>
      <c r="I55" s="60">
        <f>ROUND(F55*G55+H55,0)</f>
        <v>165918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</row>
    <row r="56" spans="1:113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</row>
    <row r="57" spans="1:113" ht="12.75">
      <c r="A57" s="74" t="s">
        <v>146</v>
      </c>
      <c r="B57" s="48" t="s">
        <v>112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</row>
    <row r="58" spans="1:113" ht="12.75">
      <c r="A58" s="196"/>
      <c r="B58" s="74" t="s">
        <v>111</v>
      </c>
      <c r="C58" s="194">
        <v>611127492</v>
      </c>
      <c r="D58" s="191">
        <v>22387.8612</v>
      </c>
      <c r="E58" s="191">
        <v>22739.5948</v>
      </c>
      <c r="F58" s="60">
        <v>20</v>
      </c>
      <c r="G58" s="142">
        <f>E58-D58</f>
        <v>351.73359999999957</v>
      </c>
      <c r="H58" s="60"/>
      <c r="I58" s="60">
        <f>ROUND(F58*G58+H58,0)</f>
        <v>7035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46</v>
      </c>
      <c r="AW58" s="47"/>
      <c r="AX58" s="47"/>
      <c r="AY58" s="47"/>
      <c r="AZ58" s="47"/>
      <c r="BA58" s="47"/>
      <c r="BB58" s="162">
        <f>BA9</f>
        <v>3.1835152017971526</v>
      </c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</row>
    <row r="59" spans="1:113" ht="12.75">
      <c r="A59" s="50" t="s">
        <v>147</v>
      </c>
      <c r="B59" s="48" t="s">
        <v>231</v>
      </c>
      <c r="C59" s="198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</row>
    <row r="60" spans="1:113" ht="12.75">
      <c r="A60" s="197"/>
      <c r="B60" s="70" t="s">
        <v>276</v>
      </c>
      <c r="C60" s="194">
        <v>611127702</v>
      </c>
      <c r="D60" s="191">
        <v>32973.3996</v>
      </c>
      <c r="E60" s="191">
        <v>33334.854</v>
      </c>
      <c r="F60" s="60">
        <v>60</v>
      </c>
      <c r="G60" s="142">
        <f>E60-D60</f>
        <v>361.45440000000235</v>
      </c>
      <c r="H60" s="44"/>
      <c r="I60" s="60">
        <f>ROUND(F60*G60+H60,0)</f>
        <v>21687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1:113" ht="13.5">
      <c r="A61" s="63"/>
      <c r="B61" s="70" t="s">
        <v>277</v>
      </c>
      <c r="C61" s="194">
        <v>611127555</v>
      </c>
      <c r="D61" s="191">
        <v>13652.6292</v>
      </c>
      <c r="E61" s="191">
        <v>14374.1276</v>
      </c>
      <c r="F61" s="60">
        <v>60</v>
      </c>
      <c r="G61" s="142">
        <f>E61-D61</f>
        <v>721.4984000000004</v>
      </c>
      <c r="H61" s="44"/>
      <c r="I61" s="60">
        <f>ROUND(F61*G61+H61,0)</f>
        <v>43290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</row>
    <row r="62" spans="1:113" ht="12.75">
      <c r="A62" s="50" t="s">
        <v>148</v>
      </c>
      <c r="B62" s="48" t="s">
        <v>232</v>
      </c>
      <c r="C62" s="199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</row>
    <row r="63" spans="1:113" ht="12.75">
      <c r="A63" s="197"/>
      <c r="B63" s="74"/>
      <c r="C63" s="194">
        <v>1110171163</v>
      </c>
      <c r="D63" s="191">
        <v>1348.5596</v>
      </c>
      <c r="E63" s="191">
        <v>1397.0568</v>
      </c>
      <c r="F63" s="60">
        <v>60</v>
      </c>
      <c r="G63" s="142">
        <f>E63-D63</f>
        <v>48.49720000000002</v>
      </c>
      <c r="H63" s="44"/>
      <c r="I63" s="60">
        <f>ROUND(F63*G63+H63,0)</f>
        <v>2910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</row>
    <row r="64" spans="1:113" ht="12.75">
      <c r="A64" s="63"/>
      <c r="B64" s="74"/>
      <c r="C64" s="194"/>
      <c r="D64" s="191"/>
      <c r="E64" s="191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</row>
    <row r="65" spans="1:113" ht="12.75">
      <c r="A65" s="50" t="s">
        <v>149</v>
      </c>
      <c r="B65" s="48" t="s">
        <v>233</v>
      </c>
      <c r="C65" s="200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</row>
    <row r="66" spans="1:113" ht="12.75">
      <c r="A66" s="63"/>
      <c r="B66" s="74"/>
      <c r="C66" s="194">
        <v>1110171170</v>
      </c>
      <c r="D66" s="191">
        <v>209.7008</v>
      </c>
      <c r="E66" s="191">
        <v>215.498</v>
      </c>
      <c r="F66" s="60">
        <v>40</v>
      </c>
      <c r="G66" s="142">
        <f>E66-D66</f>
        <v>5.797200000000004</v>
      </c>
      <c r="H66" s="60"/>
      <c r="I66" s="60">
        <f>ROUND(F66*G66+H66,0)</f>
        <v>232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</row>
    <row r="67" spans="1:113" ht="12.75">
      <c r="A67" s="63"/>
      <c r="B67" s="74"/>
      <c r="C67" s="194"/>
      <c r="D67" s="191"/>
      <c r="E67" s="191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1:113" ht="12.75">
      <c r="A68" s="50" t="s">
        <v>150</v>
      </c>
      <c r="B68" s="48" t="s">
        <v>278</v>
      </c>
      <c r="C68" s="194">
        <v>611126342</v>
      </c>
      <c r="D68" s="191">
        <v>25782.5391</v>
      </c>
      <c r="E68" s="191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</row>
    <row r="69" spans="1:113" ht="13.5">
      <c r="A69" s="63"/>
      <c r="B69" s="74" t="s">
        <v>279</v>
      </c>
      <c r="C69" s="194">
        <v>611126404</v>
      </c>
      <c r="D69" s="191">
        <v>622.6223</v>
      </c>
      <c r="E69" s="191">
        <v>631.5238</v>
      </c>
      <c r="F69" s="60">
        <v>1800</v>
      </c>
      <c r="G69" s="142">
        <f>E69-D69</f>
        <v>8.901500000000055</v>
      </c>
      <c r="H69" s="60"/>
      <c r="I69" s="60">
        <f>ROUND((F69*G69+H69),0)</f>
        <v>16023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</row>
    <row r="70" spans="1:113" ht="12.75">
      <c r="A70" s="46"/>
      <c r="B70" s="49" t="s">
        <v>242</v>
      </c>
      <c r="C70" s="194">
        <v>611126334</v>
      </c>
      <c r="D70" s="191">
        <v>2.3724</v>
      </c>
      <c r="E70" s="191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</row>
    <row r="71" spans="1:113" ht="12.75">
      <c r="A71" s="63" t="s">
        <v>228</v>
      </c>
      <c r="B71" s="74" t="s">
        <v>234</v>
      </c>
      <c r="C71" s="194">
        <v>611127724</v>
      </c>
      <c r="D71" s="191">
        <v>2053.69</v>
      </c>
      <c r="E71" s="191">
        <v>2081.6136</v>
      </c>
      <c r="F71" s="60">
        <v>30</v>
      </c>
      <c r="G71" s="142">
        <f>E71-D71</f>
        <v>27.92360000000008</v>
      </c>
      <c r="H71" s="60"/>
      <c r="I71" s="60">
        <f>ROUND(F71*G71+H71,0)</f>
        <v>838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</row>
    <row r="72" spans="1:113" ht="12.75">
      <c r="A72" s="46"/>
      <c r="B72" s="74" t="s">
        <v>272</v>
      </c>
      <c r="C72" s="194"/>
      <c r="D72" s="195"/>
      <c r="E72" s="195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</row>
    <row r="73" spans="1:113" ht="12.75">
      <c r="A73" s="44"/>
      <c r="B73" s="201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</row>
    <row r="74" spans="1:113" ht="12.75">
      <c r="A74" s="46"/>
      <c r="B74" s="53"/>
      <c r="C74" s="55"/>
      <c r="D74" s="55"/>
      <c r="E74" s="55"/>
      <c r="F74" s="55" t="s">
        <v>151</v>
      </c>
      <c r="G74" s="55"/>
      <c r="H74" s="56"/>
      <c r="I74" s="125">
        <f>ROUND((SUM(I50:I69)-I73),0)</f>
        <v>288581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</row>
    <row r="75" spans="1:113" ht="12.75">
      <c r="A75" s="45"/>
      <c r="B75" s="55"/>
      <c r="C75" s="55"/>
      <c r="D75" s="55"/>
      <c r="E75" s="55"/>
      <c r="F75" s="55"/>
      <c r="G75" s="55" t="s">
        <v>152</v>
      </c>
      <c r="H75" s="56"/>
      <c r="I75" s="125">
        <f>ROUND((I18+I20-I47-I74),0)</f>
        <v>6464795</v>
      </c>
      <c r="J75" s="64"/>
      <c r="K75" s="64">
        <f>I18+I20+I22-I47-I74</f>
        <v>6548864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</row>
    <row r="76" spans="1:113" ht="12.75">
      <c r="A76" s="44" t="s">
        <v>159</v>
      </c>
      <c r="B76" s="45" t="s">
        <v>153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</row>
    <row r="77" spans="1:113" ht="12.75">
      <c r="A77" s="48" t="s">
        <v>157</v>
      </c>
      <c r="B77" s="48" t="s">
        <v>154</v>
      </c>
      <c r="C77" s="73">
        <v>18705639</v>
      </c>
      <c r="D77" s="124">
        <v>19770</v>
      </c>
      <c r="E77" s="124">
        <v>19908</v>
      </c>
      <c r="F77" s="75">
        <v>30</v>
      </c>
      <c r="G77" s="211">
        <f>E77-D77</f>
        <v>138</v>
      </c>
      <c r="H77" s="48">
        <v>1300</v>
      </c>
      <c r="I77" s="75">
        <f>F77*G77+H77</f>
        <v>5440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</row>
    <row r="78" spans="1:54" ht="12.75">
      <c r="A78" s="49"/>
      <c r="B78" s="49" t="s">
        <v>155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113" ht="12.75">
      <c r="A79" s="48" t="s">
        <v>158</v>
      </c>
      <c r="B79" s="48" t="s">
        <v>156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0</v>
      </c>
      <c r="I79" s="75">
        <f>F79*G79+H79</f>
        <v>0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</row>
    <row r="80" spans="1:113" ht="12.75">
      <c r="A80" s="49"/>
      <c r="B80" s="49" t="s">
        <v>155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</row>
    <row r="81" spans="1:113" ht="12.75">
      <c r="A81" s="45"/>
      <c r="B81" s="55"/>
      <c r="C81" s="109"/>
      <c r="D81" s="92"/>
      <c r="E81" s="110"/>
      <c r="F81" s="110" t="s">
        <v>160</v>
      </c>
      <c r="G81" s="111"/>
      <c r="H81" s="56"/>
      <c r="I81" s="60">
        <f>I77+I79</f>
        <v>5440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</row>
    <row r="82" spans="1:113" ht="12.75">
      <c r="A82" s="45"/>
      <c r="B82" s="55"/>
      <c r="C82" s="109"/>
      <c r="D82" s="92"/>
      <c r="E82" s="110"/>
      <c r="F82" s="110"/>
      <c r="G82" s="111" t="s">
        <v>161</v>
      </c>
      <c r="H82" s="56"/>
      <c r="I82" s="125">
        <f>I75+I81</f>
        <v>6470235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</row>
    <row r="83" spans="1:113" ht="12.75">
      <c r="A83" s="50" t="s">
        <v>162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</row>
    <row r="84" spans="1:113" ht="12.75">
      <c r="A84" s="114" t="s">
        <v>285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</row>
    <row r="85" spans="1:113" ht="12.75">
      <c r="A85" s="64" t="s">
        <v>165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</row>
    <row r="86" spans="1:113" ht="12.75">
      <c r="A86" s="64"/>
      <c r="B86" s="64"/>
      <c r="C86" s="78"/>
      <c r="D86" s="202" t="s">
        <v>166</v>
      </c>
      <c r="E86" s="202"/>
      <c r="F86" s="203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</row>
    <row r="87" spans="1:113" ht="12.75">
      <c r="A87" s="64"/>
      <c r="B87" s="64"/>
      <c r="C87" s="78"/>
      <c r="D87" s="202" t="s">
        <v>263</v>
      </c>
      <c r="E87" s="202"/>
      <c r="F87" s="203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</row>
    <row r="88" spans="1:113" ht="12.75">
      <c r="A88" s="64"/>
      <c r="B88" s="64"/>
      <c r="C88" s="154"/>
      <c r="D88" s="202" t="s">
        <v>286</v>
      </c>
      <c r="E88" s="202"/>
      <c r="F88" s="203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</row>
    <row r="89" spans="1:113" ht="12.75">
      <c r="A89" s="47"/>
      <c r="B89" s="47"/>
      <c r="C89" s="47"/>
      <c r="D89" s="47" t="s">
        <v>87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262</v>
      </c>
      <c r="AU89" s="47"/>
      <c r="AV89" s="47"/>
      <c r="AW89" s="47"/>
      <c r="AX89" s="47"/>
      <c r="AY89" s="47"/>
      <c r="AZ89" s="47"/>
      <c r="BA89" s="47"/>
      <c r="BB89" s="47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</row>
    <row r="90" spans="1:113" ht="12.75">
      <c r="A90" s="47"/>
      <c r="B90" s="47"/>
      <c r="C90" s="47"/>
      <c r="D90" s="47" t="s">
        <v>88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267</v>
      </c>
      <c r="AU90" s="47"/>
      <c r="AV90" s="47"/>
      <c r="AW90" s="47"/>
      <c r="AX90" s="47"/>
      <c r="AY90" s="47"/>
      <c r="AZ90" s="47"/>
      <c r="BA90" s="47"/>
      <c r="BB90" s="47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</row>
    <row r="91" spans="1:113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11</v>
      </c>
      <c r="AZ91" s="89" t="s">
        <v>290</v>
      </c>
      <c r="BA91" s="47"/>
      <c r="BB91" s="47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</row>
    <row r="92" spans="1:113" ht="12.75">
      <c r="A92" s="47"/>
      <c r="B92" s="47"/>
      <c r="C92" s="47" t="s">
        <v>89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24</v>
      </c>
      <c r="AU92" s="55"/>
      <c r="AV92" s="55"/>
      <c r="AW92" s="55"/>
      <c r="AX92" s="55"/>
      <c r="AY92" s="56"/>
      <c r="AZ92" s="44" t="s">
        <v>72</v>
      </c>
      <c r="BA92" s="44"/>
      <c r="BB92" s="44" t="s">
        <v>25</v>
      </c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</row>
    <row r="93" spans="1:113" ht="12.75">
      <c r="A93" s="47"/>
      <c r="B93" s="47"/>
      <c r="C93" s="47"/>
      <c r="D93" s="167" t="s">
        <v>298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179</v>
      </c>
      <c r="AU93" s="55"/>
      <c r="AV93" s="55"/>
      <c r="AW93" s="55"/>
      <c r="AX93" s="55"/>
      <c r="AY93" s="56"/>
      <c r="AZ93" s="125">
        <v>94041</v>
      </c>
      <c r="BA93" s="92"/>
      <c r="BB93" s="188">
        <f>AZ93*BB58</f>
        <v>299380.95309220604</v>
      </c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</row>
    <row r="94" spans="1:113" ht="12.75">
      <c r="A94" s="47" t="s">
        <v>260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178</v>
      </c>
      <c r="AU94" s="55"/>
      <c r="AV94" s="55"/>
      <c r="AW94" s="55"/>
      <c r="AX94" s="55"/>
      <c r="AY94" s="56"/>
      <c r="AZ94" s="125">
        <f>AZ131-SUM(AZ112:AZ120)-AZ109-AZ103-AZ96-AZ95-AZ93</f>
        <v>4855268</v>
      </c>
      <c r="BA94" s="92"/>
      <c r="BB94" s="188">
        <f>AZ94*BB58</f>
        <v>15456819.486799257</v>
      </c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</row>
    <row r="95" spans="1:113" ht="12.75">
      <c r="A95" s="47" t="s">
        <v>90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269</v>
      </c>
      <c r="AU95" s="55"/>
      <c r="AV95" s="55"/>
      <c r="AW95" s="55"/>
      <c r="AX95" s="55"/>
      <c r="AY95" s="56"/>
      <c r="AZ95" s="125">
        <v>89388</v>
      </c>
      <c r="BA95" s="92"/>
      <c r="BB95" s="188">
        <f>AZ95*BB58</f>
        <v>284568.0568582439</v>
      </c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</row>
    <row r="96" spans="1:113" ht="12.75">
      <c r="A96" s="47" t="s">
        <v>92</v>
      </c>
      <c r="B96" s="47"/>
      <c r="C96" s="47"/>
      <c r="D96" s="47"/>
      <c r="E96" s="47"/>
      <c r="F96" s="47" t="s">
        <v>91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15</v>
      </c>
      <c r="AU96" s="51"/>
      <c r="AV96" s="51"/>
      <c r="AW96" s="51"/>
      <c r="AX96" s="51"/>
      <c r="AY96" s="52"/>
      <c r="AZ96" s="189">
        <f>SUM(AZ97:AZ102)</f>
        <v>1096385</v>
      </c>
      <c r="BA96" s="95"/>
      <c r="BB96" s="188">
        <f>AZ96*BB58</f>
        <v>3490358.314522371</v>
      </c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</row>
    <row r="97" spans="1:113" ht="12.75">
      <c r="A97" s="48" t="s">
        <v>187</v>
      </c>
      <c r="B97" s="73" t="s">
        <v>93</v>
      </c>
      <c r="C97" s="48" t="s">
        <v>94</v>
      </c>
      <c r="D97" s="116" t="s">
        <v>169</v>
      </c>
      <c r="E97" s="117"/>
      <c r="F97" s="48" t="s">
        <v>95</v>
      </c>
      <c r="G97" s="48" t="s">
        <v>208</v>
      </c>
      <c r="H97" s="48" t="s">
        <v>96</v>
      </c>
      <c r="I97" s="48" t="s">
        <v>86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16</v>
      </c>
      <c r="AU97" s="64"/>
      <c r="AV97" s="64"/>
      <c r="AW97" s="64"/>
      <c r="AX97" s="64"/>
      <c r="AY97" s="65"/>
      <c r="AZ97" s="67">
        <v>355673</v>
      </c>
      <c r="BA97" s="78"/>
      <c r="BB97" s="188">
        <f>AZ97*BB58</f>
        <v>1132290.4023687986</v>
      </c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</row>
    <row r="98" spans="1:113" ht="12.75">
      <c r="A98" s="74"/>
      <c r="B98" s="74"/>
      <c r="C98" s="74"/>
      <c r="D98" s="48" t="s">
        <v>97</v>
      </c>
      <c r="E98" s="50" t="s">
        <v>98</v>
      </c>
      <c r="F98" s="74" t="s">
        <v>99</v>
      </c>
      <c r="G98" s="74" t="s">
        <v>85</v>
      </c>
      <c r="H98" s="74"/>
      <c r="I98" s="74" t="s">
        <v>100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17</v>
      </c>
      <c r="AU98" s="64"/>
      <c r="AV98" s="64"/>
      <c r="AW98" s="64"/>
      <c r="AX98" s="64"/>
      <c r="AY98" s="65"/>
      <c r="AZ98" s="67">
        <v>615079</v>
      </c>
      <c r="BA98" s="78"/>
      <c r="BB98" s="188">
        <f>AZ98*BB58</f>
        <v>1958113.346806191</v>
      </c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</row>
    <row r="99" spans="1:113" ht="12.75">
      <c r="A99" s="49"/>
      <c r="B99" s="49"/>
      <c r="C99" s="49"/>
      <c r="D99" s="49" t="s">
        <v>101</v>
      </c>
      <c r="E99" s="46" t="s">
        <v>101</v>
      </c>
      <c r="F99" s="49" t="s">
        <v>102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18</v>
      </c>
      <c r="AU99" s="64"/>
      <c r="AV99" s="64"/>
      <c r="AW99" s="64"/>
      <c r="AX99" s="64"/>
      <c r="AY99" s="65"/>
      <c r="AZ99" s="67">
        <v>121833</v>
      </c>
      <c r="BA99" s="78"/>
      <c r="BB99" s="188">
        <f>AZ99*BB58</f>
        <v>387857.2075805525</v>
      </c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</row>
    <row r="100" spans="1:113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19</v>
      </c>
      <c r="AU100" s="64"/>
      <c r="AV100" s="64"/>
      <c r="AW100" s="64"/>
      <c r="AX100" s="64"/>
      <c r="AY100" s="65"/>
      <c r="AZ100" s="67">
        <v>300</v>
      </c>
      <c r="BA100" s="78"/>
      <c r="BB100" s="188">
        <f>AZ100*BB58</f>
        <v>955.0545605391458</v>
      </c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</row>
    <row r="101" spans="1:113" ht="12.75">
      <c r="A101" s="46"/>
      <c r="B101" s="53"/>
      <c r="C101" s="209" t="s">
        <v>170</v>
      </c>
      <c r="D101" s="209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20</v>
      </c>
      <c r="AU101" s="64"/>
      <c r="AV101" s="64"/>
      <c r="AW101" s="64"/>
      <c r="AX101" s="64"/>
      <c r="AY101" s="65"/>
      <c r="AZ101" s="67">
        <v>2500</v>
      </c>
      <c r="BA101" s="78"/>
      <c r="BB101" s="188">
        <f>AZ101*BB58</f>
        <v>7958.788004492882</v>
      </c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</row>
    <row r="102" spans="1:113" ht="12.75">
      <c r="A102" s="44"/>
      <c r="B102" s="45" t="s">
        <v>259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8">
        <f>AZ102*BB58</f>
        <v>3183.5152017971527</v>
      </c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</row>
    <row r="103" spans="1:113" ht="12.75">
      <c r="A103" s="73">
        <v>1</v>
      </c>
      <c r="B103" s="48" t="s">
        <v>143</v>
      </c>
      <c r="C103" s="90">
        <v>804152757</v>
      </c>
      <c r="D103" s="121">
        <v>2611.0181</v>
      </c>
      <c r="E103" s="121">
        <v>2662.6277</v>
      </c>
      <c r="F103" s="60">
        <v>36000</v>
      </c>
      <c r="G103" s="142">
        <f>E103-D103</f>
        <v>51.60960000000023</v>
      </c>
      <c r="H103" s="44"/>
      <c r="I103" s="60">
        <f>F103*G103+H103</f>
        <v>1857945.6000000082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180</v>
      </c>
      <c r="AU103" s="51"/>
      <c r="AV103" s="51"/>
      <c r="AW103" s="51"/>
      <c r="AX103" s="51"/>
      <c r="AY103" s="52"/>
      <c r="AZ103" s="189">
        <f>SUM(AZ104:AZ108)</f>
        <v>12920</v>
      </c>
      <c r="BA103" s="95"/>
      <c r="BB103" s="188">
        <f>AZ103*BB58</f>
        <v>41131.01640721921</v>
      </c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</row>
    <row r="104" spans="1:113" ht="12.75">
      <c r="A104" s="49"/>
      <c r="B104" s="46" t="s">
        <v>144</v>
      </c>
      <c r="C104" s="106">
        <v>109054169</v>
      </c>
      <c r="D104" s="121">
        <v>3194.7625</v>
      </c>
      <c r="E104" s="121">
        <v>3255.0743</v>
      </c>
      <c r="F104" s="60">
        <v>36000</v>
      </c>
      <c r="G104" s="142">
        <f>E104-D104</f>
        <v>60.3118000000004</v>
      </c>
      <c r="H104" s="44"/>
      <c r="I104" s="60">
        <f>F104*G104+H104</f>
        <v>2171224.8000000147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203</v>
      </c>
      <c r="AV104" s="64"/>
      <c r="AW104" s="64"/>
      <c r="AX104" s="64"/>
      <c r="AY104" s="65"/>
      <c r="AZ104" s="67">
        <v>1680</v>
      </c>
      <c r="BA104" s="78"/>
      <c r="BB104" s="188">
        <f>AZ104*BB58</f>
        <v>5348.305539019217</v>
      </c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</row>
    <row r="105" spans="1:113" ht="12.75">
      <c r="A105" s="45"/>
      <c r="B105" s="55"/>
      <c r="C105" s="53"/>
      <c r="D105" s="55"/>
      <c r="E105" s="55"/>
      <c r="F105" s="107" t="s">
        <v>106</v>
      </c>
      <c r="G105" s="55"/>
      <c r="H105" s="56"/>
      <c r="I105" s="60">
        <f>I103+I104</f>
        <v>4029170.4000000227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201</v>
      </c>
      <c r="AU105" s="64"/>
      <c r="AV105" s="64" t="s">
        <v>181</v>
      </c>
      <c r="AW105" s="64"/>
      <c r="AX105" s="64"/>
      <c r="AY105" s="65"/>
      <c r="AZ105" s="67">
        <v>4160</v>
      </c>
      <c r="BA105" s="78"/>
      <c r="BB105" s="188">
        <f>AZ105*BB58</f>
        <v>13243.423239476155</v>
      </c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</row>
    <row r="106" spans="1:113" ht="12.75">
      <c r="A106" s="44" t="s">
        <v>107</v>
      </c>
      <c r="B106" s="45" t="s">
        <v>108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201</v>
      </c>
      <c r="AU106" s="64"/>
      <c r="AV106" s="64" t="s">
        <v>204</v>
      </c>
      <c r="AW106" s="64"/>
      <c r="AX106" s="64"/>
      <c r="AY106" s="65"/>
      <c r="AZ106" s="67">
        <v>0</v>
      </c>
      <c r="BA106" s="78"/>
      <c r="BB106" s="188">
        <f>AZ106*BB58</f>
        <v>0</v>
      </c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</row>
    <row r="107" spans="1:113" ht="12.75">
      <c r="A107" s="44" t="s">
        <v>109</v>
      </c>
      <c r="B107" s="44" t="s">
        <v>110</v>
      </c>
      <c r="C107" s="106">
        <v>109053225</v>
      </c>
      <c r="D107" s="121">
        <v>7870.4654</v>
      </c>
      <c r="E107" s="121">
        <v>7937.8459</v>
      </c>
      <c r="F107" s="60">
        <v>21000</v>
      </c>
      <c r="G107" s="142">
        <f>E107-D107</f>
        <v>67.38050000000021</v>
      </c>
      <c r="H107" s="44"/>
      <c r="I107" s="60">
        <f>F107*G107+H107</f>
        <v>1414990.5000000044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205</v>
      </c>
      <c r="AW107" s="64"/>
      <c r="AX107" s="64"/>
      <c r="AY107" s="64"/>
      <c r="AZ107" s="67">
        <v>420</v>
      </c>
      <c r="BA107" s="70"/>
      <c r="BB107" s="188">
        <f>AZ107*BB58</f>
        <v>1337.0763847548042</v>
      </c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</row>
    <row r="108" spans="1:113" ht="12.75">
      <c r="A108" s="44" t="s">
        <v>254</v>
      </c>
      <c r="B108" s="55" t="s">
        <v>257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57</v>
      </c>
      <c r="AU108" s="53"/>
      <c r="AV108" s="101"/>
      <c r="AW108" s="101"/>
      <c r="AX108" s="53"/>
      <c r="AY108" s="54"/>
      <c r="AZ108" s="68">
        <v>6660</v>
      </c>
      <c r="BA108" s="86"/>
      <c r="BB108" s="188">
        <f>AZ108*BB58</f>
        <v>21202.211243969035</v>
      </c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</row>
    <row r="109" spans="1:113" ht="12.75">
      <c r="A109" s="44" t="s">
        <v>255</v>
      </c>
      <c r="B109" s="45" t="s">
        <v>258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268</v>
      </c>
      <c r="AU109" s="51"/>
      <c r="AV109" s="51"/>
      <c r="AW109" s="51"/>
      <c r="AX109" s="51"/>
      <c r="AY109" s="52"/>
      <c r="AZ109" s="189">
        <f>AZ110+AZ111</f>
        <v>140667</v>
      </c>
      <c r="BA109" s="95"/>
      <c r="BB109" s="188">
        <f>AZ109*BB58</f>
        <v>447815.5328912001</v>
      </c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</row>
    <row r="110" spans="1:113" ht="12.75">
      <c r="A110" s="45" t="s">
        <v>256</v>
      </c>
      <c r="B110" s="45"/>
      <c r="C110" s="219"/>
      <c r="D110" s="220"/>
      <c r="E110" s="220"/>
      <c r="F110" s="221"/>
      <c r="G110" s="222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21</v>
      </c>
      <c r="AU110" s="64"/>
      <c r="AV110" s="64"/>
      <c r="AW110" s="64"/>
      <c r="AX110" s="64"/>
      <c r="AY110" s="65"/>
      <c r="AZ110" s="67">
        <v>15332</v>
      </c>
      <c r="BA110" s="78"/>
      <c r="BB110" s="188">
        <f>AZ110*BB58</f>
        <v>48809.655073953945</v>
      </c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</row>
    <row r="111" spans="1:113" ht="12.75">
      <c r="A111" s="44" t="s">
        <v>113</v>
      </c>
      <c r="B111" s="45" t="s">
        <v>114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22</v>
      </c>
      <c r="AU111" s="53"/>
      <c r="AV111" s="53"/>
      <c r="AW111" s="53"/>
      <c r="AX111" s="53"/>
      <c r="AY111" s="54"/>
      <c r="AZ111" s="68">
        <v>125335</v>
      </c>
      <c r="BA111" s="86"/>
      <c r="BB111" s="188">
        <f>AZ111*BB58</f>
        <v>399005.87781724613</v>
      </c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</row>
    <row r="112" spans="1:113" ht="12.75">
      <c r="A112" s="48" t="s">
        <v>115</v>
      </c>
      <c r="B112" s="48" t="s">
        <v>118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206</v>
      </c>
      <c r="AU112" s="55"/>
      <c r="AV112" s="55"/>
      <c r="AW112" s="55"/>
      <c r="AX112" s="55"/>
      <c r="AY112" s="56"/>
      <c r="AZ112" s="125">
        <v>20213</v>
      </c>
      <c r="BA112" s="92"/>
      <c r="BB112" s="188">
        <f>AZ112*BB58</f>
        <v>64348.39277392584</v>
      </c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</row>
    <row r="113" spans="1:113" ht="12.75">
      <c r="A113" s="49"/>
      <c r="B113" s="49" t="s">
        <v>116</v>
      </c>
      <c r="C113" s="91">
        <v>109056121</v>
      </c>
      <c r="D113" s="212">
        <v>6677.3173</v>
      </c>
      <c r="E113" s="212">
        <v>6706.5241</v>
      </c>
      <c r="F113" s="68">
        <v>4800</v>
      </c>
      <c r="G113" s="213">
        <f aca="true" t="shared" si="2" ref="G113:G132">E113-D113</f>
        <v>29.20679999999993</v>
      </c>
      <c r="H113" s="68"/>
      <c r="I113" s="68">
        <f>F113*G113+H113</f>
        <v>140192.63999999966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56</v>
      </c>
      <c r="AU113" s="55"/>
      <c r="AV113" s="55"/>
      <c r="AW113" s="55"/>
      <c r="AX113" s="55"/>
      <c r="AY113" s="56"/>
      <c r="AZ113" s="125">
        <v>24000</v>
      </c>
      <c r="BA113" s="92"/>
      <c r="BB113" s="188">
        <f>AZ113*BB58</f>
        <v>76404.36484313167</v>
      </c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</row>
    <row r="114" spans="1:113" ht="12.75">
      <c r="A114" s="48" t="s">
        <v>117</v>
      </c>
      <c r="B114" s="48" t="s">
        <v>129</v>
      </c>
      <c r="C114" s="90">
        <v>623125232</v>
      </c>
      <c r="D114" s="214">
        <v>3029.0723</v>
      </c>
      <c r="E114" s="214">
        <v>3063.1104</v>
      </c>
      <c r="F114" s="75">
        <v>1800</v>
      </c>
      <c r="G114" s="215">
        <f t="shared" si="2"/>
        <v>34.03810000000021</v>
      </c>
      <c r="H114" s="73"/>
      <c r="I114" s="75">
        <f>G114*F114</f>
        <v>61268.58000000038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197</v>
      </c>
      <c r="AU114" s="55"/>
      <c r="AV114" s="55"/>
      <c r="AW114" s="55"/>
      <c r="AX114" s="55"/>
      <c r="AY114" s="56"/>
      <c r="AZ114" s="125">
        <v>13783</v>
      </c>
      <c r="BA114" s="92"/>
      <c r="BB114" s="188">
        <f>AZ114*BB58</f>
        <v>43878.39002637016</v>
      </c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</row>
    <row r="115" spans="1:113" ht="12.75">
      <c r="A115" s="49"/>
      <c r="B115" s="49" t="s">
        <v>116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177</v>
      </c>
      <c r="AU115" s="55"/>
      <c r="AV115" s="55"/>
      <c r="AW115" s="55"/>
      <c r="AX115" s="55"/>
      <c r="AY115" s="56"/>
      <c r="AZ115" s="125">
        <v>3040</v>
      </c>
      <c r="BA115" s="92"/>
      <c r="BB115" s="188">
        <f>AZ115*BB58</f>
        <v>9677.886213463344</v>
      </c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</row>
    <row r="116" spans="1:113" ht="12.75">
      <c r="A116" s="48" t="s">
        <v>119</v>
      </c>
      <c r="B116" s="48" t="s">
        <v>130</v>
      </c>
      <c r="C116" s="90">
        <v>623125667</v>
      </c>
      <c r="D116" s="214">
        <v>4076.3291</v>
      </c>
      <c r="E116" s="214">
        <v>4123.4626</v>
      </c>
      <c r="F116" s="75">
        <v>1800</v>
      </c>
      <c r="G116" s="215">
        <f t="shared" si="2"/>
        <v>47.13349999999991</v>
      </c>
      <c r="H116" s="73"/>
      <c r="I116" s="75">
        <f>G116*F116</f>
        <v>84840.29999999984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40000</v>
      </c>
      <c r="BA116" s="92"/>
      <c r="BB116" s="188">
        <f>AZ116*BB58</f>
        <v>127340.6080718861</v>
      </c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</row>
    <row r="117" spans="1:113" ht="12.75">
      <c r="A117" s="49"/>
      <c r="B117" s="49" t="s">
        <v>116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10000</v>
      </c>
      <c r="BA117" s="92"/>
      <c r="BB117" s="188">
        <f>AZ117*BB58</f>
        <v>31835.152017971526</v>
      </c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</row>
    <row r="118" spans="1:113" ht="12.75">
      <c r="A118" s="48" t="s">
        <v>120</v>
      </c>
      <c r="B118" s="48" t="s">
        <v>131</v>
      </c>
      <c r="C118" s="90">
        <v>623126370</v>
      </c>
      <c r="D118" s="214">
        <v>811.0353</v>
      </c>
      <c r="E118" s="214">
        <v>827.3908</v>
      </c>
      <c r="F118" s="75">
        <v>4800</v>
      </c>
      <c r="G118" s="215">
        <f t="shared" si="2"/>
        <v>16.355500000000006</v>
      </c>
      <c r="H118" s="73"/>
      <c r="I118" s="75">
        <f>G118*F118</f>
        <v>78506.40000000002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202</v>
      </c>
      <c r="AU118" s="107"/>
      <c r="AV118" s="55"/>
      <c r="AW118" s="55"/>
      <c r="AX118" s="55"/>
      <c r="AY118" s="56"/>
      <c r="AZ118" s="125">
        <v>50</v>
      </c>
      <c r="BA118" s="92"/>
      <c r="BB118" s="188">
        <f>AZ118*BB58</f>
        <v>159.17576008985762</v>
      </c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</row>
    <row r="119" spans="1:113" ht="12.75">
      <c r="A119" s="49"/>
      <c r="B119" s="49" t="s">
        <v>116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199</v>
      </c>
      <c r="AU119" s="107"/>
      <c r="AV119" s="55"/>
      <c r="AW119" s="55"/>
      <c r="AX119" s="55"/>
      <c r="AY119" s="56"/>
      <c r="AZ119" s="125">
        <v>70480</v>
      </c>
      <c r="BA119" s="92"/>
      <c r="BB119" s="188">
        <f>AZ119*BB58</f>
        <v>224374.15142266333</v>
      </c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</row>
    <row r="120" spans="1:113" ht="12.75">
      <c r="A120" s="48" t="s">
        <v>121</v>
      </c>
      <c r="B120" s="48" t="s">
        <v>132</v>
      </c>
      <c r="C120" s="90">
        <v>623125137</v>
      </c>
      <c r="D120" s="214">
        <v>695.661</v>
      </c>
      <c r="E120" s="214">
        <v>695.661</v>
      </c>
      <c r="F120" s="75">
        <v>4800</v>
      </c>
      <c r="G120" s="215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8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</row>
    <row r="121" spans="1:113" ht="12.75">
      <c r="A121" s="49"/>
      <c r="B121" s="49" t="s">
        <v>116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8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</row>
    <row r="122" spans="1:113" ht="12.75">
      <c r="A122" s="48" t="s">
        <v>122</v>
      </c>
      <c r="B122" s="48" t="s">
        <v>133</v>
      </c>
      <c r="C122" s="90">
        <v>623125142</v>
      </c>
      <c r="D122" s="214">
        <v>2692.7084</v>
      </c>
      <c r="E122" s="214">
        <v>2729.165</v>
      </c>
      <c r="F122" s="75">
        <v>2400</v>
      </c>
      <c r="G122" s="215">
        <f t="shared" si="2"/>
        <v>36.45659999999998</v>
      </c>
      <c r="H122" s="73"/>
      <c r="I122" s="75">
        <f>G122*F122</f>
        <v>87495.83999999995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8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</row>
    <row r="123" spans="1:113" ht="12.75">
      <c r="A123" s="49"/>
      <c r="B123" s="49" t="s">
        <v>116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8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</row>
    <row r="124" spans="1:113" ht="12.75">
      <c r="A124" s="48" t="s">
        <v>123</v>
      </c>
      <c r="B124" s="48" t="s">
        <v>134</v>
      </c>
      <c r="C124" s="90">
        <v>623125205</v>
      </c>
      <c r="D124" s="214">
        <v>2196.2547</v>
      </c>
      <c r="E124" s="214">
        <v>2239.8423</v>
      </c>
      <c r="F124" s="75">
        <v>1800</v>
      </c>
      <c r="G124" s="215">
        <f t="shared" si="2"/>
        <v>43.58759999999984</v>
      </c>
      <c r="H124" s="73"/>
      <c r="I124" s="75">
        <f>G124*F124</f>
        <v>78457.6799999997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8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</row>
    <row r="125" spans="1:113" ht="12.75">
      <c r="A125" s="49"/>
      <c r="B125" s="49" t="s">
        <v>116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8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</row>
    <row r="126" spans="1:113" ht="12.75">
      <c r="A126" s="48" t="s">
        <v>124</v>
      </c>
      <c r="B126" s="48" t="s">
        <v>135</v>
      </c>
      <c r="C126" s="90">
        <v>623123704</v>
      </c>
      <c r="D126" s="214">
        <v>2694.6294</v>
      </c>
      <c r="E126" s="214">
        <v>2745.5653</v>
      </c>
      <c r="F126" s="75">
        <v>1800</v>
      </c>
      <c r="G126" s="215">
        <f t="shared" si="2"/>
        <v>50.9359000000004</v>
      </c>
      <c r="H126" s="73"/>
      <c r="I126" s="75">
        <f>G126*F126</f>
        <v>91684.62000000072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8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</row>
    <row r="127" spans="1:113" ht="13.5" customHeight="1">
      <c r="A127" s="49"/>
      <c r="B127" s="49" t="s">
        <v>116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</row>
    <row r="128" spans="1:113" ht="13.5" customHeight="1">
      <c r="A128" s="48" t="s">
        <v>125</v>
      </c>
      <c r="B128" s="48" t="s">
        <v>136</v>
      </c>
      <c r="C128" s="90">
        <v>623125794</v>
      </c>
      <c r="D128" s="214">
        <v>172.1663</v>
      </c>
      <c r="E128" s="214">
        <v>185.1487</v>
      </c>
      <c r="F128" s="75">
        <v>1800</v>
      </c>
      <c r="G128" s="215">
        <f>E128-D128</f>
        <v>12.982399999999984</v>
      </c>
      <c r="H128" s="73"/>
      <c r="I128" s="75">
        <f>G128*F128</f>
        <v>23368.31999999997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</row>
    <row r="129" spans="1:113" ht="12.75">
      <c r="A129" s="49"/>
      <c r="B129" s="49" t="s">
        <v>116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</row>
    <row r="130" spans="1:113" ht="12.75">
      <c r="A130" s="48" t="s">
        <v>126</v>
      </c>
      <c r="B130" s="48" t="s">
        <v>137</v>
      </c>
      <c r="C130" s="90">
        <v>623125736</v>
      </c>
      <c r="D130" s="214">
        <v>3191.0803</v>
      </c>
      <c r="E130" s="214">
        <v>3235.0599</v>
      </c>
      <c r="F130" s="75">
        <v>1200</v>
      </c>
      <c r="G130" s="215">
        <f t="shared" si="2"/>
        <v>43.97960000000012</v>
      </c>
      <c r="H130" s="73"/>
      <c r="I130" s="75">
        <f>G130*F130</f>
        <v>52775.52000000014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</row>
    <row r="131" spans="1:113" ht="12.75">
      <c r="A131" s="49"/>
      <c r="B131" s="49" t="s">
        <v>116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90">
        <f>AZ9</f>
        <v>6470235</v>
      </c>
      <c r="BA131" s="47"/>
      <c r="BB131" s="165">
        <f>SUM(BB93:BB96)+BB103+BB109+SUM(BB112:BB126)</f>
        <v>20598091.481699996</v>
      </c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</row>
    <row r="132" spans="1:113" ht="12.75">
      <c r="A132" s="48" t="s">
        <v>127</v>
      </c>
      <c r="B132" s="50" t="s">
        <v>128</v>
      </c>
      <c r="C132" s="90">
        <v>1110171156</v>
      </c>
      <c r="D132" s="214">
        <v>1732.632</v>
      </c>
      <c r="E132" s="214">
        <v>1792.3772</v>
      </c>
      <c r="F132" s="75">
        <v>40</v>
      </c>
      <c r="G132" s="215">
        <f t="shared" si="2"/>
        <v>59.74519999999984</v>
      </c>
      <c r="H132" s="73"/>
      <c r="I132" s="75">
        <f>G132*F132</f>
        <v>2389.8079999999936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</row>
    <row r="133" spans="1:113" ht="12.75">
      <c r="A133" s="49"/>
      <c r="B133" s="46" t="s">
        <v>116</v>
      </c>
      <c r="C133" s="71"/>
      <c r="D133" s="227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</row>
    <row r="134" spans="1:113" ht="12.75">
      <c r="A134" s="94"/>
      <c r="B134" s="55"/>
      <c r="C134" s="86"/>
      <c r="D134" s="92"/>
      <c r="E134" s="93"/>
      <c r="F134" s="93"/>
      <c r="G134" s="108" t="s">
        <v>138</v>
      </c>
      <c r="H134" s="56"/>
      <c r="I134" s="125">
        <f>SUM(I112:I133)+I107</f>
        <v>2115970.2080000048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302</v>
      </c>
      <c r="AU134" s="47"/>
      <c r="AV134" s="47"/>
      <c r="AW134" s="47"/>
      <c r="AX134" s="47"/>
      <c r="AY134" s="47"/>
      <c r="AZ134" s="47"/>
      <c r="BA134" s="47"/>
      <c r="BB134" s="47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</row>
    <row r="135" spans="1:113" ht="12.75">
      <c r="A135" s="48" t="s">
        <v>141</v>
      </c>
      <c r="B135" s="50" t="s">
        <v>139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</row>
    <row r="136" spans="1:113" ht="12.75">
      <c r="A136" s="74"/>
      <c r="B136" s="63" t="s">
        <v>140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45</v>
      </c>
      <c r="AU136" s="47"/>
      <c r="AV136" s="47"/>
      <c r="AW136" s="47"/>
      <c r="AX136" s="47"/>
      <c r="AY136" s="47"/>
      <c r="AZ136" s="47"/>
      <c r="BA136" s="47"/>
      <c r="BB136" s="47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</row>
    <row r="137" spans="1:113" ht="12.75">
      <c r="A137" s="50" t="s">
        <v>142</v>
      </c>
      <c r="B137" s="48" t="s">
        <v>235</v>
      </c>
      <c r="C137" s="193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</row>
    <row r="138" spans="1:113" ht="12.75">
      <c r="A138" s="63"/>
      <c r="B138" s="74"/>
      <c r="C138" s="194">
        <v>611127627</v>
      </c>
      <c r="D138" s="191">
        <v>2565.7252</v>
      </c>
      <c r="E138" s="191">
        <v>2571.8056</v>
      </c>
      <c r="F138" s="60">
        <v>40</v>
      </c>
      <c r="G138" s="142">
        <f>E138-D138</f>
        <v>6.080400000000282</v>
      </c>
      <c r="H138" s="60"/>
      <c r="I138" s="60">
        <f>ROUND(F138*G138+H138,0)</f>
        <v>243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</row>
    <row r="139" spans="1:113" ht="12.75">
      <c r="A139" s="63"/>
      <c r="B139" s="49" t="s">
        <v>226</v>
      </c>
      <c r="C139" s="194"/>
      <c r="D139" s="195"/>
      <c r="E139" s="195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297</v>
      </c>
      <c r="AX139" s="47"/>
      <c r="AY139" s="47"/>
      <c r="AZ139" s="47"/>
      <c r="BA139" s="47"/>
      <c r="BB139" s="47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</row>
    <row r="140" spans="1:113" ht="12.75">
      <c r="A140" s="48" t="s">
        <v>145</v>
      </c>
      <c r="B140" s="65"/>
      <c r="C140" s="106">
        <v>810120245</v>
      </c>
      <c r="D140" s="191">
        <v>1342.8478</v>
      </c>
      <c r="E140" s="191">
        <v>1343.1368</v>
      </c>
      <c r="F140" s="60">
        <v>3600</v>
      </c>
      <c r="G140" s="142">
        <f aca="true" t="shared" si="3" ref="G140:G145">E140-D140</f>
        <v>0.28899999999998727</v>
      </c>
      <c r="H140" s="60"/>
      <c r="I140" s="60">
        <f aca="true" t="shared" si="4" ref="I140:I145">ROUND(F140*G140+H140,0)</f>
        <v>1040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299</v>
      </c>
      <c r="AX140" s="47"/>
      <c r="AY140" s="47"/>
      <c r="AZ140" s="47"/>
      <c r="BA140" s="47"/>
      <c r="BB140" s="47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</row>
    <row r="141" spans="1:113" ht="12.75">
      <c r="A141" s="74"/>
      <c r="B141" s="65" t="s">
        <v>241</v>
      </c>
      <c r="C141" s="106"/>
      <c r="D141" s="191"/>
      <c r="E141" s="191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</row>
    <row r="142" spans="1:113" ht="12.75">
      <c r="A142" s="74"/>
      <c r="B142" s="65"/>
      <c r="C142" s="103">
        <v>4050284</v>
      </c>
      <c r="D142" s="121">
        <v>4378.2564</v>
      </c>
      <c r="E142" s="121">
        <v>4402.162</v>
      </c>
      <c r="F142" s="60">
        <v>3600</v>
      </c>
      <c r="G142" s="143">
        <f t="shared" si="3"/>
        <v>23.90560000000005</v>
      </c>
      <c r="H142" s="44"/>
      <c r="I142" s="60">
        <f t="shared" si="4"/>
        <v>86060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</row>
    <row r="143" spans="1:113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</row>
    <row r="144" spans="1:113" ht="12.75">
      <c r="A144" s="74" t="s">
        <v>146</v>
      </c>
      <c r="B144" s="48" t="s">
        <v>112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</row>
    <row r="145" spans="1:113" ht="12.75">
      <c r="A145" s="196"/>
      <c r="B145" s="74" t="s">
        <v>111</v>
      </c>
      <c r="C145" s="194">
        <v>611127492</v>
      </c>
      <c r="D145" s="191">
        <v>6281.5512</v>
      </c>
      <c r="E145" s="191">
        <v>6333.9172</v>
      </c>
      <c r="F145" s="60">
        <v>20</v>
      </c>
      <c r="G145" s="142">
        <f t="shared" si="3"/>
        <v>52.365999999999985</v>
      </c>
      <c r="H145" s="60"/>
      <c r="I145" s="60">
        <f t="shared" si="4"/>
        <v>1047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</row>
    <row r="146" spans="1:113" ht="12.75">
      <c r="A146" s="50" t="s">
        <v>147</v>
      </c>
      <c r="B146" s="48" t="s">
        <v>236</v>
      </c>
      <c r="C146" s="198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</row>
    <row r="147" spans="1:113" ht="12.75">
      <c r="A147" s="197"/>
      <c r="B147" s="70" t="s">
        <v>276</v>
      </c>
      <c r="C147" s="194">
        <v>611127702</v>
      </c>
      <c r="D147" s="191">
        <v>7097.8568</v>
      </c>
      <c r="E147" s="191">
        <v>7142.9656</v>
      </c>
      <c r="F147" s="60">
        <v>60</v>
      </c>
      <c r="G147" s="142">
        <f>E147-D147</f>
        <v>45.10880000000088</v>
      </c>
      <c r="H147" s="44"/>
      <c r="I147" s="60">
        <f>ROUND(F147*G147+H147,0)</f>
        <v>2707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</row>
    <row r="148" spans="1:113" ht="12.75">
      <c r="A148" s="63"/>
      <c r="B148" s="70" t="s">
        <v>277</v>
      </c>
      <c r="C148" s="194">
        <v>611127555</v>
      </c>
      <c r="D148" s="191">
        <v>2342.7232</v>
      </c>
      <c r="E148" s="191">
        <v>2450.0904</v>
      </c>
      <c r="F148" s="60">
        <v>60</v>
      </c>
      <c r="G148" s="142">
        <f>E148-D148</f>
        <v>107.36720000000014</v>
      </c>
      <c r="H148" s="44"/>
      <c r="I148" s="60">
        <f>ROUND(F148*G148+H148,0)</f>
        <v>6442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</row>
    <row r="149" spans="1:113" ht="12.75">
      <c r="A149" s="50" t="s">
        <v>148</v>
      </c>
      <c r="B149" s="48" t="s">
        <v>237</v>
      </c>
      <c r="C149" s="199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</row>
    <row r="150" spans="1:113" ht="12.75">
      <c r="A150" s="197"/>
      <c r="B150" s="74"/>
      <c r="C150" s="194">
        <v>1110171163</v>
      </c>
      <c r="D150" s="121">
        <v>650.1776</v>
      </c>
      <c r="E150" s="121">
        <v>685.0388</v>
      </c>
      <c r="F150" s="60">
        <v>60</v>
      </c>
      <c r="G150" s="142">
        <f>E150-D150</f>
        <v>34.86120000000005</v>
      </c>
      <c r="H150" s="44"/>
      <c r="I150" s="60">
        <f>ROUND(F150*G150+H150,0)</f>
        <v>2092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</row>
    <row r="151" spans="1:113" ht="12.75">
      <c r="A151" s="63"/>
      <c r="B151" s="74"/>
      <c r="C151" s="194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</row>
    <row r="152" spans="1:113" ht="12.75">
      <c r="A152" s="50" t="s">
        <v>149</v>
      </c>
      <c r="B152" s="48" t="s">
        <v>238</v>
      </c>
      <c r="C152" s="200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</row>
    <row r="153" spans="1:113" ht="12.75">
      <c r="A153" s="63"/>
      <c r="B153" s="74"/>
      <c r="C153" s="194">
        <v>1110171170</v>
      </c>
      <c r="D153" s="191">
        <v>221.8428</v>
      </c>
      <c r="E153" s="191">
        <v>228.06</v>
      </c>
      <c r="F153" s="60">
        <v>40</v>
      </c>
      <c r="G153" s="142">
        <f>E153-D153</f>
        <v>6.217199999999991</v>
      </c>
      <c r="H153" s="60"/>
      <c r="I153" s="60">
        <f>ROUND(F153*G153+H153,0)</f>
        <v>249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</row>
    <row r="154" spans="1:113" ht="12.75">
      <c r="A154" s="63"/>
      <c r="B154" s="74"/>
      <c r="C154" s="194"/>
      <c r="D154" s="195"/>
      <c r="E154" s="195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</row>
    <row r="155" spans="1:113" ht="12.75">
      <c r="A155" s="48" t="s">
        <v>150</v>
      </c>
      <c r="B155" s="52" t="s">
        <v>271</v>
      </c>
      <c r="C155" s="194">
        <v>611126342</v>
      </c>
      <c r="D155" s="191">
        <v>6059.7548</v>
      </c>
      <c r="E155" s="191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</row>
    <row r="156" spans="1:113" ht="12.75">
      <c r="A156" s="74"/>
      <c r="B156" s="65" t="s">
        <v>227</v>
      </c>
      <c r="C156" s="194">
        <v>611126404</v>
      </c>
      <c r="D156" s="191">
        <v>934.191</v>
      </c>
      <c r="E156" s="191">
        <v>947.5366</v>
      </c>
      <c r="F156" s="60">
        <v>1800</v>
      </c>
      <c r="G156" s="142">
        <f>E156-D156</f>
        <v>13.34559999999999</v>
      </c>
      <c r="H156" s="60"/>
      <c r="I156" s="60">
        <f>ROUND(F156*G156+H156,0)</f>
        <v>24022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</row>
    <row r="157" spans="1:113" ht="12.75">
      <c r="A157" s="49"/>
      <c r="B157" s="54" t="s">
        <v>242</v>
      </c>
      <c r="C157" s="194">
        <v>611126334</v>
      </c>
      <c r="D157" s="191">
        <v>0.1356</v>
      </c>
      <c r="E157" s="191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</row>
    <row r="158" spans="1:113" ht="12.75">
      <c r="A158" s="63" t="s">
        <v>228</v>
      </c>
      <c r="B158" s="48" t="s">
        <v>239</v>
      </c>
      <c r="C158" s="194">
        <v>611127724</v>
      </c>
      <c r="D158" s="191">
        <v>708.1156</v>
      </c>
      <c r="E158" s="191">
        <v>717.032</v>
      </c>
      <c r="F158" s="60">
        <v>30</v>
      </c>
      <c r="G158" s="142">
        <f>E158-D158</f>
        <v>8.916400000000067</v>
      </c>
      <c r="H158" s="60"/>
      <c r="I158" s="60">
        <f>ROUND(F158*G158+H158,0)</f>
        <v>267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</row>
    <row r="159" spans="1:113" ht="12.75">
      <c r="A159" s="46"/>
      <c r="B159" s="74" t="s">
        <v>270</v>
      </c>
      <c r="C159" s="194"/>
      <c r="D159" s="195"/>
      <c r="E159" s="195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</row>
    <row r="160" spans="1:113" ht="12.75">
      <c r="A160" s="44"/>
      <c r="B160" s="201"/>
      <c r="C160" s="73"/>
      <c r="D160" s="195"/>
      <c r="E160" s="195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</row>
    <row r="161" spans="1:113" ht="12.75">
      <c r="A161" s="46"/>
      <c r="B161" s="53"/>
      <c r="C161" s="55"/>
      <c r="D161" s="55"/>
      <c r="E161" s="55"/>
      <c r="F161" s="55" t="s">
        <v>151</v>
      </c>
      <c r="G161" s="55"/>
      <c r="H161" s="56"/>
      <c r="I161" s="125">
        <f>SUM(I137:I159)-I160</f>
        <v>124169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</row>
    <row r="162" spans="1:113" ht="12.75">
      <c r="A162" s="45"/>
      <c r="B162" s="55"/>
      <c r="C162" s="55"/>
      <c r="D162" s="55"/>
      <c r="E162" s="55"/>
      <c r="F162" s="55"/>
      <c r="G162" s="55" t="s">
        <v>152</v>
      </c>
      <c r="H162" s="56"/>
      <c r="I162" s="125">
        <f>I103+I104+I107+I108+I109+I110-I134-I161</f>
        <v>3204021.6920000226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</row>
    <row r="163" spans="1:113" ht="12.75">
      <c r="A163" s="44" t="s">
        <v>159</v>
      </c>
      <c r="B163" s="45" t="s">
        <v>153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</row>
    <row r="164" spans="1:113" ht="12.75">
      <c r="A164" s="48" t="s">
        <v>157</v>
      </c>
      <c r="B164" s="48" t="s">
        <v>154</v>
      </c>
      <c r="C164" s="73">
        <v>18705639</v>
      </c>
      <c r="D164" s="210">
        <v>38</v>
      </c>
      <c r="E164" s="210">
        <v>38</v>
      </c>
      <c r="F164" s="75">
        <v>30</v>
      </c>
      <c r="G164" s="211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</row>
    <row r="165" spans="1:113" ht="12.75">
      <c r="A165" s="49"/>
      <c r="B165" s="49" t="s">
        <v>155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</row>
    <row r="166" spans="1:113" ht="12.75">
      <c r="A166" s="48" t="s">
        <v>158</v>
      </c>
      <c r="B166" s="48" t="s">
        <v>156</v>
      </c>
      <c r="C166" s="73">
        <v>18705843</v>
      </c>
      <c r="D166" s="210">
        <v>204.4</v>
      </c>
      <c r="E166" s="210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</row>
    <row r="167" spans="1:113" ht="12.75">
      <c r="A167" s="49"/>
      <c r="B167" s="49" t="s">
        <v>155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</row>
    <row r="168" spans="1:113" ht="12.75">
      <c r="A168" s="45"/>
      <c r="B168" s="55"/>
      <c r="C168" s="109"/>
      <c r="D168" s="92"/>
      <c r="E168" s="110"/>
      <c r="F168" s="110" t="s">
        <v>160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</row>
    <row r="169" spans="1:113" ht="12.75">
      <c r="A169" s="45"/>
      <c r="B169" s="55"/>
      <c r="C169" s="109"/>
      <c r="D169" s="92"/>
      <c r="E169" s="110"/>
      <c r="F169" s="110"/>
      <c r="G169" s="111" t="s">
        <v>161</v>
      </c>
      <c r="H169" s="56"/>
      <c r="I169" s="125">
        <f>I162+I168</f>
        <v>3204021.6920000226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</row>
    <row r="170" spans="1:113" ht="12.75">
      <c r="A170" s="50" t="s">
        <v>162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</row>
    <row r="171" spans="1:113" ht="12.75">
      <c r="A171" s="114" t="s">
        <v>285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</row>
    <row r="172" spans="1:113" ht="12.75">
      <c r="A172" s="64" t="s">
        <v>165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</row>
    <row r="173" spans="1:113" ht="12.75">
      <c r="A173" s="64"/>
      <c r="B173" s="64"/>
      <c r="C173" s="78"/>
      <c r="D173" s="202" t="s">
        <v>166</v>
      </c>
      <c r="E173" s="202"/>
      <c r="F173" s="203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</row>
    <row r="174" spans="1:113" ht="12.75">
      <c r="A174" s="64"/>
      <c r="B174" s="64"/>
      <c r="C174" s="78"/>
      <c r="D174" s="202" t="s">
        <v>263</v>
      </c>
      <c r="E174" s="202"/>
      <c r="F174" s="203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</row>
    <row r="175" spans="1:113" ht="12.75">
      <c r="A175" s="64"/>
      <c r="B175" s="64"/>
      <c r="C175" s="154"/>
      <c r="D175" s="202" t="s">
        <v>286</v>
      </c>
      <c r="E175" s="202"/>
      <c r="F175" s="203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</row>
    <row r="176" spans="1:113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</row>
    <row r="177" spans="1:113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252</v>
      </c>
      <c r="BA177" s="47"/>
      <c r="BB177" s="47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</row>
    <row r="178" spans="1:113" ht="12.75">
      <c r="A178" s="64"/>
      <c r="B178" s="64"/>
      <c r="C178" s="204"/>
      <c r="D178" s="205"/>
      <c r="E178" s="205"/>
      <c r="F178" s="77"/>
      <c r="G178" s="206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246</v>
      </c>
      <c r="BA178" s="47" t="s">
        <v>25</v>
      </c>
      <c r="BB178" s="47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</row>
    <row r="179" spans="1:113" ht="12.75">
      <c r="A179" s="133"/>
      <c r="B179" s="64"/>
      <c r="C179" s="204"/>
      <c r="D179" s="205"/>
      <c r="E179" s="205"/>
      <c r="F179" s="77"/>
      <c r="G179" s="206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243</v>
      </c>
      <c r="AZ179" s="190">
        <f>AZ183+AZ184+AZ185</f>
        <v>3014175</v>
      </c>
      <c r="BA179" s="218">
        <f>AZ179*2.9</f>
        <v>8741107.5</v>
      </c>
      <c r="BB179" s="47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</row>
    <row r="180" spans="1:113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244</v>
      </c>
      <c r="AZ180" s="190">
        <f>AZ187-AZ179-AZ181</f>
        <v>-3014175</v>
      </c>
      <c r="BA180" s="218">
        <f>AZ180*2.9</f>
        <v>-8741107.5</v>
      </c>
      <c r="BB180" s="47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</row>
    <row r="181" spans="1:113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245</v>
      </c>
      <c r="AZ181" s="190">
        <f>AZ186</f>
        <v>0</v>
      </c>
      <c r="BA181" s="218">
        <f>AZ181*2.9</f>
        <v>0</v>
      </c>
      <c r="BB181" s="47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</row>
    <row r="182" spans="52:113" ht="12.75">
      <c r="AZ182" s="216"/>
      <c r="BA182" s="216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</row>
    <row r="183" spans="51:113" ht="12.75">
      <c r="AY183" s="47" t="s">
        <v>247</v>
      </c>
      <c r="AZ183" s="217">
        <v>2742934</v>
      </c>
      <c r="BA183" s="216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</row>
    <row r="184" spans="51:113" ht="12.75">
      <c r="AY184" s="47" t="s">
        <v>248</v>
      </c>
      <c r="AZ184" s="217">
        <f>AZ95</f>
        <v>89388</v>
      </c>
      <c r="BA184" s="216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</row>
    <row r="185" spans="51:113" ht="12.75">
      <c r="AY185" s="47" t="s">
        <v>250</v>
      </c>
      <c r="AZ185" s="217">
        <v>181853</v>
      </c>
      <c r="BA185" s="216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</row>
    <row r="186" spans="51:113" ht="12.75">
      <c r="AY186" s="47"/>
      <c r="AZ186" s="217"/>
      <c r="BA186" s="216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</row>
    <row r="187" spans="51:113" ht="12.75">
      <c r="AY187" s="47"/>
      <c r="AZ187" s="217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</row>
    <row r="188" spans="55:113" ht="12.75"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</row>
    <row r="189" spans="55:113" ht="12.75"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</row>
    <row r="190" spans="55:113" ht="12.75"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</row>
    <row r="191" spans="55:113" ht="12.75"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</row>
    <row r="192" spans="1:113" ht="12.75">
      <c r="A192" s="3"/>
      <c r="B192" s="3"/>
      <c r="C192" s="3"/>
      <c r="D192" s="3"/>
      <c r="E192" s="3"/>
      <c r="F192" s="3"/>
      <c r="G192" s="3"/>
      <c r="H192" s="3"/>
      <c r="I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</row>
    <row r="193" spans="1:113" ht="12.75">
      <c r="A193" s="3"/>
      <c r="B193" s="3"/>
      <c r="C193" s="3"/>
      <c r="D193" s="3"/>
      <c r="E193" s="3"/>
      <c r="F193" s="3"/>
      <c r="G193" s="3"/>
      <c r="H193" s="3"/>
      <c r="I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</row>
    <row r="194" spans="1:113" ht="12.75">
      <c r="A194" s="3"/>
      <c r="B194" s="3"/>
      <c r="C194" s="3"/>
      <c r="D194" s="3"/>
      <c r="E194" s="3"/>
      <c r="F194" s="3"/>
      <c r="G194" s="3"/>
      <c r="H194" s="3"/>
      <c r="I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</row>
    <row r="195" spans="1:113" ht="12.75">
      <c r="A195" s="3"/>
      <c r="B195" s="3"/>
      <c r="C195" s="3"/>
      <c r="D195" s="3"/>
      <c r="E195" s="3"/>
      <c r="F195" s="3"/>
      <c r="G195" s="3"/>
      <c r="H195" s="3"/>
      <c r="I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</row>
    <row r="196" spans="1:113" ht="12.75">
      <c r="A196" s="3"/>
      <c r="B196" s="3"/>
      <c r="C196" s="3"/>
      <c r="D196" s="228"/>
      <c r="E196" s="228"/>
      <c r="F196" s="228"/>
      <c r="G196" s="228"/>
      <c r="H196" s="228"/>
      <c r="I196" s="60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</row>
    <row r="197" spans="1:113" ht="12.75">
      <c r="A197" s="3"/>
      <c r="B197" s="3"/>
      <c r="C197" s="3"/>
      <c r="D197" s="3"/>
      <c r="E197" s="3"/>
      <c r="F197" s="3"/>
      <c r="G197" s="3"/>
      <c r="H197" s="3"/>
      <c r="I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</row>
    <row r="198" spans="1:113" ht="12.75">
      <c r="A198" s="8"/>
      <c r="B198" s="8"/>
      <c r="C198" s="8"/>
      <c r="D198" s="8"/>
      <c r="E198" s="8"/>
      <c r="F198" s="8"/>
      <c r="G198" s="8"/>
      <c r="H198" s="8"/>
      <c r="I198" s="8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</row>
    <row r="199" spans="1:113" ht="12.75">
      <c r="A199" s="8"/>
      <c r="B199" s="8"/>
      <c r="C199" s="8"/>
      <c r="D199" s="8"/>
      <c r="E199" s="8"/>
      <c r="F199" s="8"/>
      <c r="G199" s="8"/>
      <c r="H199" s="8"/>
      <c r="I199" s="8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</row>
    <row r="200" spans="1:113" ht="12.75">
      <c r="A200" s="8"/>
      <c r="B200" s="8"/>
      <c r="C200" s="8"/>
      <c r="D200" s="8"/>
      <c r="E200" s="8"/>
      <c r="F200" s="8"/>
      <c r="G200" s="8"/>
      <c r="H200" s="8"/>
      <c r="I200" s="8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</row>
    <row r="201" spans="1:113" ht="12.75">
      <c r="A201" s="8"/>
      <c r="B201" s="8"/>
      <c r="C201" s="8"/>
      <c r="D201" s="8"/>
      <c r="E201" s="7"/>
      <c r="F201" s="7"/>
      <c r="G201" s="8"/>
      <c r="H201" s="8"/>
      <c r="I201" s="8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</row>
    <row r="202" spans="1:113" ht="12.75">
      <c r="A202" s="28"/>
      <c r="B202" s="28"/>
      <c r="C202" s="28"/>
      <c r="D202" s="28"/>
      <c r="E202" s="28"/>
      <c r="F202" s="28"/>
      <c r="G202" s="28"/>
      <c r="H202" s="28"/>
      <c r="I202" s="28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</row>
    <row r="203" spans="1:113" ht="12.75">
      <c r="A203" s="8"/>
      <c r="B203" s="8"/>
      <c r="C203" s="8"/>
      <c r="D203" s="8"/>
      <c r="E203" s="31"/>
      <c r="F203" s="31"/>
      <c r="G203" s="8"/>
      <c r="H203" s="8"/>
      <c r="I203" s="32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</row>
    <row r="204" spans="1:113" ht="12.75">
      <c r="A204" s="8"/>
      <c r="B204" s="8"/>
      <c r="C204" s="8"/>
      <c r="D204" s="33"/>
      <c r="E204" s="31"/>
      <c r="F204" s="8"/>
      <c r="G204" s="8"/>
      <c r="H204" s="8"/>
      <c r="I204" s="32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</row>
    <row r="205" spans="1:113" ht="12.75">
      <c r="A205" s="8"/>
      <c r="B205" s="8"/>
      <c r="C205" s="8"/>
      <c r="D205" s="8"/>
      <c r="E205" s="8"/>
      <c r="F205" s="8"/>
      <c r="G205" s="8"/>
      <c r="H205" s="8"/>
      <c r="I205" s="32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</row>
    <row r="206" spans="1:113" ht="12.75">
      <c r="A206" s="28"/>
      <c r="B206" s="8"/>
      <c r="C206" s="8"/>
      <c r="D206" s="8"/>
      <c r="E206" s="8"/>
      <c r="F206" s="8"/>
      <c r="G206" s="8"/>
      <c r="H206" s="8"/>
      <c r="I206" s="32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</row>
    <row r="207" spans="1:113" ht="12.75">
      <c r="A207" s="34"/>
      <c r="B207" s="34"/>
      <c r="C207" s="34"/>
      <c r="D207" s="34"/>
      <c r="E207" s="34"/>
      <c r="F207" s="34"/>
      <c r="G207" s="34"/>
      <c r="H207" s="34"/>
      <c r="I207" s="35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</row>
    <row r="208" spans="1:113" ht="12.75">
      <c r="A208" s="8"/>
      <c r="B208" s="8"/>
      <c r="C208" s="8"/>
      <c r="D208" s="8"/>
      <c r="E208" s="8"/>
      <c r="F208" s="8"/>
      <c r="G208" s="8"/>
      <c r="H208" s="8"/>
      <c r="I208" s="32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</row>
    <row r="209" spans="1:113" ht="12.75">
      <c r="A209" s="8"/>
      <c r="B209" s="8"/>
      <c r="C209" s="8"/>
      <c r="D209" s="8"/>
      <c r="E209" s="8"/>
      <c r="F209" s="8"/>
      <c r="G209" s="8"/>
      <c r="H209" s="8"/>
      <c r="I209" s="32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</row>
    <row r="210" spans="1:113" ht="12.75">
      <c r="A210" s="8"/>
      <c r="B210" s="8"/>
      <c r="C210" s="8"/>
      <c r="D210" s="8"/>
      <c r="E210" s="8"/>
      <c r="F210" s="8"/>
      <c r="G210" s="8"/>
      <c r="H210" s="8"/>
      <c r="I210" s="32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</row>
    <row r="211" spans="1:113" ht="12.75">
      <c r="A211" s="8"/>
      <c r="B211" s="8"/>
      <c r="C211" s="8"/>
      <c r="D211" s="8"/>
      <c r="E211" s="8"/>
      <c r="F211" s="8"/>
      <c r="G211" s="8"/>
      <c r="H211" s="8"/>
      <c r="I211" s="8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</row>
    <row r="212" spans="1:113" ht="12.75">
      <c r="A212" s="8"/>
      <c r="B212" s="8"/>
      <c r="C212" s="8"/>
      <c r="D212" s="8"/>
      <c r="E212" s="8"/>
      <c r="F212" s="8"/>
      <c r="G212" s="8"/>
      <c r="H212" s="8"/>
      <c r="I212" s="8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</row>
    <row r="213" spans="1:113" ht="13.5">
      <c r="A213" s="24"/>
      <c r="B213" s="28"/>
      <c r="C213" s="28"/>
      <c r="D213" s="28"/>
      <c r="E213" s="28"/>
      <c r="F213" s="28"/>
      <c r="G213" s="36"/>
      <c r="H213" s="28"/>
      <c r="I213" s="8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</row>
    <row r="214" spans="1:113" ht="12.75">
      <c r="A214" s="8"/>
      <c r="B214" s="8"/>
      <c r="C214" s="8"/>
      <c r="D214" s="8"/>
      <c r="E214" s="8"/>
      <c r="F214" s="8"/>
      <c r="G214" s="8"/>
      <c r="H214" s="8"/>
      <c r="I214" s="8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</row>
    <row r="215" spans="1:113" ht="12.75">
      <c r="A215" s="8"/>
      <c r="B215" s="8"/>
      <c r="C215" s="8"/>
      <c r="D215" s="8"/>
      <c r="E215" s="8"/>
      <c r="F215" s="8"/>
      <c r="G215" s="8"/>
      <c r="H215" s="8"/>
      <c r="I215" s="8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</row>
    <row r="216" spans="1:113" ht="12.75">
      <c r="A216" s="3"/>
      <c r="B216" s="3"/>
      <c r="C216" s="3"/>
      <c r="D216" s="3"/>
      <c r="E216" s="3"/>
      <c r="F216" s="3"/>
      <c r="G216" s="3"/>
      <c r="H216" s="3"/>
      <c r="I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</row>
    <row r="217" spans="1:113" ht="12.75">
      <c r="A217" s="3"/>
      <c r="B217" s="3"/>
      <c r="C217" s="3"/>
      <c r="D217" s="3"/>
      <c r="E217" s="3"/>
      <c r="F217" s="3"/>
      <c r="G217" s="3"/>
      <c r="H217" s="3"/>
      <c r="I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</row>
    <row r="218" spans="1:113" ht="12.75">
      <c r="A218" s="3"/>
      <c r="B218" s="2"/>
      <c r="C218" s="2"/>
      <c r="D218" s="2"/>
      <c r="E218" s="2"/>
      <c r="F218" s="2"/>
      <c r="G218" s="2"/>
      <c r="H218" s="2"/>
      <c r="I218" s="2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</row>
    <row r="219" spans="1:113" ht="12.75">
      <c r="A219" s="2"/>
      <c r="B219" s="2"/>
      <c r="C219" s="2"/>
      <c r="D219" s="2"/>
      <c r="E219" s="3"/>
      <c r="F219" s="2"/>
      <c r="G219" s="2"/>
      <c r="H219" s="2"/>
      <c r="I219" s="2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</row>
    <row r="220" spans="1:113" ht="12.75">
      <c r="A220" s="3"/>
      <c r="B220" s="3"/>
      <c r="C220" s="3"/>
      <c r="D220" s="3"/>
      <c r="E220" s="3"/>
      <c r="F220" s="3"/>
      <c r="G220" s="3"/>
      <c r="H220" s="3"/>
      <c r="I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</row>
    <row r="221" spans="1:113" ht="12.75">
      <c r="A221" s="3"/>
      <c r="B221" s="3"/>
      <c r="C221" s="3"/>
      <c r="D221" s="3"/>
      <c r="E221" s="3"/>
      <c r="F221" s="3"/>
      <c r="G221" s="3"/>
      <c r="H221" s="3"/>
      <c r="I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</row>
    <row r="222" spans="1:113" ht="12.75">
      <c r="A222" s="3"/>
      <c r="B222" s="3"/>
      <c r="C222" s="3"/>
      <c r="D222" s="3"/>
      <c r="E222" s="3"/>
      <c r="F222" s="3"/>
      <c r="G222" s="3"/>
      <c r="H222" s="3"/>
      <c r="I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</row>
    <row r="223" spans="1:113" ht="12.75">
      <c r="A223" s="3"/>
      <c r="B223" s="3"/>
      <c r="C223" s="3"/>
      <c r="D223" s="3"/>
      <c r="E223" s="3"/>
      <c r="F223" s="3"/>
      <c r="G223" s="3"/>
      <c r="H223" s="3"/>
      <c r="I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</row>
    <row r="224" spans="1:113" ht="12.75">
      <c r="A224" s="3"/>
      <c r="B224" s="3"/>
      <c r="C224" s="3"/>
      <c r="D224" s="3"/>
      <c r="E224" s="3"/>
      <c r="F224" s="3"/>
      <c r="G224" s="3"/>
      <c r="H224" s="3"/>
      <c r="I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</row>
    <row r="225" spans="1:113" ht="12.75">
      <c r="A225" s="3"/>
      <c r="B225" s="3"/>
      <c r="C225" s="3"/>
      <c r="D225" s="3"/>
      <c r="E225" s="3"/>
      <c r="F225" s="3"/>
      <c r="G225" s="3"/>
      <c r="H225" s="3"/>
      <c r="I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</row>
    <row r="226" spans="1:113" ht="12.75">
      <c r="A226" s="3"/>
      <c r="B226" s="3"/>
      <c r="C226" s="3"/>
      <c r="D226" s="3"/>
      <c r="E226" s="3"/>
      <c r="F226" s="3"/>
      <c r="G226" s="3"/>
      <c r="H226" s="3"/>
      <c r="I226" s="3"/>
      <c r="S226" s="3"/>
      <c r="T226" s="3"/>
      <c r="U226" s="3"/>
      <c r="V226" s="3"/>
      <c r="W226" s="3"/>
      <c r="X226" s="3"/>
      <c r="Y226" s="3"/>
      <c r="Z226" s="3"/>
      <c r="AA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</row>
    <row r="227" spans="1:113" ht="12.75">
      <c r="A227" s="3"/>
      <c r="B227" s="3"/>
      <c r="C227" s="3"/>
      <c r="D227" s="3"/>
      <c r="E227" s="3"/>
      <c r="F227" s="3"/>
      <c r="G227" s="3"/>
      <c r="H227" s="3"/>
      <c r="I227" s="3"/>
      <c r="S227" s="3"/>
      <c r="T227" s="3"/>
      <c r="U227" s="3"/>
      <c r="V227" s="3"/>
      <c r="W227" s="3"/>
      <c r="X227" s="3"/>
      <c r="Y227" s="3"/>
      <c r="Z227" s="3"/>
      <c r="AA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</row>
    <row r="228" spans="1:113" ht="12.75">
      <c r="A228" s="3"/>
      <c r="B228" s="3"/>
      <c r="C228" s="3"/>
      <c r="D228" s="3"/>
      <c r="E228" s="3"/>
      <c r="F228" s="3"/>
      <c r="G228" s="3"/>
      <c r="H228" s="3"/>
      <c r="I228" s="3"/>
      <c r="S228" s="3"/>
      <c r="T228" s="3"/>
      <c r="U228" s="3"/>
      <c r="V228" s="3"/>
      <c r="W228" s="3"/>
      <c r="X228" s="3"/>
      <c r="Y228" s="3"/>
      <c r="Z228" s="3"/>
      <c r="AA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</row>
    <row r="229" spans="1:113" ht="12.75">
      <c r="A229" s="3"/>
      <c r="B229" s="3"/>
      <c r="C229" s="3"/>
      <c r="D229" s="3"/>
      <c r="E229" s="3"/>
      <c r="F229" s="3"/>
      <c r="G229" s="3"/>
      <c r="H229" s="3"/>
      <c r="I229" s="3"/>
      <c r="S229" s="3"/>
      <c r="T229" s="3"/>
      <c r="U229" s="3"/>
      <c r="V229" s="3"/>
      <c r="W229" s="3"/>
      <c r="X229" s="3"/>
      <c r="Y229" s="3"/>
      <c r="Z229" s="3"/>
      <c r="AA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</row>
    <row r="230" spans="1:113" ht="12.75">
      <c r="A230" s="21"/>
      <c r="B230" s="3"/>
      <c r="C230" s="3"/>
      <c r="D230" s="3"/>
      <c r="E230" s="3"/>
      <c r="F230" s="3"/>
      <c r="G230" s="3"/>
      <c r="H230" s="3"/>
      <c r="I230" s="3"/>
      <c r="S230" s="3"/>
      <c r="T230" s="3"/>
      <c r="U230" s="3"/>
      <c r="V230" s="3"/>
      <c r="W230" s="3"/>
      <c r="X230" s="3"/>
      <c r="Y230" s="3"/>
      <c r="Z230" s="3"/>
      <c r="AA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</row>
    <row r="231" spans="1:113" ht="12.75">
      <c r="A231" s="3"/>
      <c r="B231" s="3"/>
      <c r="C231" s="3"/>
      <c r="D231" s="3"/>
      <c r="E231" s="3"/>
      <c r="F231" s="3"/>
      <c r="G231" s="3"/>
      <c r="H231" s="3"/>
      <c r="I231" s="3"/>
      <c r="S231" s="3"/>
      <c r="T231" s="3"/>
      <c r="U231" s="3"/>
      <c r="V231" s="3"/>
      <c r="W231" s="3"/>
      <c r="X231" s="3"/>
      <c r="Y231" s="3"/>
      <c r="Z231" s="3"/>
      <c r="AA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</row>
    <row r="232" spans="19:113" ht="12.75">
      <c r="S232" s="3"/>
      <c r="T232" s="3"/>
      <c r="U232" s="3"/>
      <c r="V232" s="3"/>
      <c r="W232" s="3"/>
      <c r="X232" s="3"/>
      <c r="Y232" s="3"/>
      <c r="Z232" s="3"/>
      <c r="AA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</row>
    <row r="233" spans="19:113" ht="12.75">
      <c r="S233" s="3"/>
      <c r="T233" s="3"/>
      <c r="U233" s="3"/>
      <c r="V233" s="3"/>
      <c r="W233" s="3"/>
      <c r="X233" s="3"/>
      <c r="Y233" s="3"/>
      <c r="Z233" s="3"/>
      <c r="AA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</row>
    <row r="234" spans="19:113" ht="12.75">
      <c r="S234" s="3"/>
      <c r="T234" s="3"/>
      <c r="U234" s="3"/>
      <c r="V234" s="3"/>
      <c r="W234" s="3"/>
      <c r="X234" s="3"/>
      <c r="Y234" s="3"/>
      <c r="Z234" s="3"/>
      <c r="AA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</row>
    <row r="235" spans="19:113" ht="12.75">
      <c r="S235" s="3"/>
      <c r="T235" s="3"/>
      <c r="U235" s="3"/>
      <c r="V235" s="3"/>
      <c r="W235" s="3"/>
      <c r="X235" s="3"/>
      <c r="Y235" s="3"/>
      <c r="Z235" s="3"/>
      <c r="AA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</row>
    <row r="236" spans="19:113" ht="12.75">
      <c r="S236" s="3"/>
      <c r="T236" s="3"/>
      <c r="U236" s="3"/>
      <c r="V236" s="3"/>
      <c r="W236" s="3"/>
      <c r="X236" s="3"/>
      <c r="Y236" s="3"/>
      <c r="Z236" s="3"/>
      <c r="AA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</row>
    <row r="237" spans="19:113" ht="12.75">
      <c r="S237" s="9"/>
      <c r="T237" s="20"/>
      <c r="U237" s="15"/>
      <c r="V237" s="15"/>
      <c r="W237" s="18"/>
      <c r="X237" s="19"/>
      <c r="Y237" s="15"/>
      <c r="Z237" s="9"/>
      <c r="AA237" s="10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</row>
    <row r="238" spans="19:113" ht="12.75">
      <c r="S238" s="13"/>
      <c r="T238" s="8"/>
      <c r="U238" s="16"/>
      <c r="V238" s="16"/>
      <c r="W238" s="15"/>
      <c r="X238" s="15"/>
      <c r="Y238" s="16"/>
      <c r="Z238" s="13"/>
      <c r="AA238" s="14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</row>
    <row r="239" spans="19:113" ht="12.75">
      <c r="S239" s="11"/>
      <c r="T239" s="6"/>
      <c r="U239" s="17"/>
      <c r="V239" s="17"/>
      <c r="W239" s="22"/>
      <c r="X239" s="22"/>
      <c r="Y239" s="17"/>
      <c r="Z239" s="11"/>
      <c r="AA239" s="12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</row>
    <row r="240" spans="19:113" ht="12.75">
      <c r="S240" s="25"/>
      <c r="T240" s="23"/>
      <c r="U240" s="23"/>
      <c r="V240" s="23"/>
      <c r="W240" s="23"/>
      <c r="X240" s="23"/>
      <c r="Y240" s="23"/>
      <c r="Z240" s="23"/>
      <c r="AA240" s="30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</row>
    <row r="241" spans="19:113" ht="12.75">
      <c r="S241" s="9"/>
      <c r="T241" s="20"/>
      <c r="U241" s="37"/>
      <c r="V241" s="19"/>
      <c r="W241" s="5"/>
      <c r="X241" s="5"/>
      <c r="Y241" s="29"/>
      <c r="Z241" s="1"/>
      <c r="AA241" s="26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</row>
    <row r="242" spans="19:113" ht="12.75">
      <c r="S242" s="13"/>
      <c r="T242" s="8"/>
      <c r="U242" s="38"/>
      <c r="V242" s="19"/>
      <c r="W242" s="5"/>
      <c r="X242" s="5"/>
      <c r="Y242" s="1"/>
      <c r="Z242" s="1"/>
      <c r="AA242" s="26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</row>
    <row r="243" spans="19:113" ht="12.75">
      <c r="S243" s="9"/>
      <c r="T243" s="20"/>
      <c r="U243" s="37"/>
      <c r="V243" s="19"/>
      <c r="W243" s="5"/>
      <c r="X243" s="5"/>
      <c r="Y243" s="1"/>
      <c r="Z243" s="1"/>
      <c r="AA243" s="26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</row>
    <row r="244" spans="19:113" ht="12.75">
      <c r="S244" s="13"/>
      <c r="T244" s="8"/>
      <c r="U244" s="38"/>
      <c r="V244" s="19"/>
      <c r="W244" s="5"/>
      <c r="X244" s="5"/>
      <c r="Y244" s="1"/>
      <c r="Z244" s="1"/>
      <c r="AA244" s="26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</row>
    <row r="245" spans="19:113" ht="12.75">
      <c r="S245" s="9"/>
      <c r="T245" s="20"/>
      <c r="U245" s="37"/>
      <c r="V245" s="19"/>
      <c r="W245" s="5"/>
      <c r="X245" s="5"/>
      <c r="Y245" s="1"/>
      <c r="Z245" s="1"/>
      <c r="AA245" s="26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</row>
    <row r="246" spans="19:113" ht="12.75">
      <c r="S246" s="13"/>
      <c r="T246" s="8"/>
      <c r="U246" s="38"/>
      <c r="V246" s="19"/>
      <c r="W246" s="1"/>
      <c r="X246" s="5"/>
      <c r="Y246" s="1"/>
      <c r="Z246" s="1"/>
      <c r="AA246" s="26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</row>
    <row r="247" spans="19:113" ht="12.75">
      <c r="S247" s="9"/>
      <c r="T247" s="20"/>
      <c r="U247" s="37"/>
      <c r="V247" s="19"/>
      <c r="W247" s="5"/>
      <c r="X247" s="5"/>
      <c r="Y247" s="1"/>
      <c r="Z247" s="1"/>
      <c r="AA247" s="26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</row>
    <row r="248" spans="19:113" ht="12.75">
      <c r="S248" s="13"/>
      <c r="T248" s="8"/>
      <c r="U248" s="38"/>
      <c r="V248" s="19"/>
      <c r="W248" s="5"/>
      <c r="X248" s="5"/>
      <c r="Y248" s="1"/>
      <c r="Z248" s="1"/>
      <c r="AA248" s="26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</row>
    <row r="249" spans="19:113" ht="12.75">
      <c r="S249" s="9"/>
      <c r="T249" s="20"/>
      <c r="U249" s="37"/>
      <c r="V249" s="19"/>
      <c r="W249" s="5"/>
      <c r="X249" s="5"/>
      <c r="Y249" s="1"/>
      <c r="Z249" s="1"/>
      <c r="AA249" s="26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</row>
    <row r="250" spans="19:113" ht="12.75">
      <c r="S250" s="11"/>
      <c r="T250" s="6"/>
      <c r="U250" s="38"/>
      <c r="V250" s="19"/>
      <c r="W250" s="5"/>
      <c r="X250" s="5"/>
      <c r="Y250" s="1"/>
      <c r="Z250" s="1"/>
      <c r="AA250" s="26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</row>
    <row r="251" spans="19:113" ht="12.75">
      <c r="S251" s="13"/>
      <c r="T251" s="8"/>
      <c r="U251" s="37"/>
      <c r="V251" s="19"/>
      <c r="W251" s="1"/>
      <c r="X251" s="5"/>
      <c r="Y251" s="1"/>
      <c r="Z251" s="1"/>
      <c r="AA251" s="26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</row>
    <row r="252" spans="19:113" ht="12.75">
      <c r="S252" s="11"/>
      <c r="T252" s="6"/>
      <c r="U252" s="38"/>
      <c r="V252" s="19"/>
      <c r="W252" s="1"/>
      <c r="X252" s="5"/>
      <c r="Y252" s="1"/>
      <c r="Z252" s="1"/>
      <c r="AA252" s="26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</row>
    <row r="253" spans="19:113" ht="12.75">
      <c r="S253" s="13"/>
      <c r="T253" s="8"/>
      <c r="U253" s="37"/>
      <c r="V253" s="19"/>
      <c r="W253" s="1"/>
      <c r="X253" s="5"/>
      <c r="Y253" s="1"/>
      <c r="Z253" s="1"/>
      <c r="AA253" s="26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</row>
    <row r="254" spans="19:113" ht="12.75">
      <c r="S254" s="11"/>
      <c r="T254" s="6"/>
      <c r="U254" s="38"/>
      <c r="V254" s="19"/>
      <c r="W254" s="1"/>
      <c r="X254" s="5"/>
      <c r="Y254" s="1"/>
      <c r="Z254" s="1"/>
      <c r="AA254" s="26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</row>
    <row r="255" spans="19:113" ht="12.75">
      <c r="S255" s="13"/>
      <c r="T255" s="8"/>
      <c r="U255" s="37"/>
      <c r="V255" s="19"/>
      <c r="W255" s="5"/>
      <c r="X255" s="5"/>
      <c r="Y255" s="1"/>
      <c r="Z255" s="1"/>
      <c r="AA255" s="26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</row>
    <row r="256" spans="19:113" ht="12.75">
      <c r="S256" s="11"/>
      <c r="T256" s="43"/>
      <c r="U256" s="39"/>
      <c r="V256" s="19"/>
      <c r="W256" s="5"/>
      <c r="X256" s="5"/>
      <c r="Y256" s="1"/>
      <c r="Z256" s="1"/>
      <c r="AA256" s="26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</row>
    <row r="257" spans="19:27" ht="12.75">
      <c r="S257" s="13"/>
      <c r="T257" s="14"/>
      <c r="U257" s="40"/>
      <c r="V257" s="1"/>
      <c r="W257" s="5"/>
      <c r="X257" s="5"/>
      <c r="Y257" s="1"/>
      <c r="Z257" s="1"/>
      <c r="AA257" s="26"/>
    </row>
    <row r="258" spans="19:27" ht="12.75">
      <c r="S258" s="11"/>
      <c r="T258" s="12"/>
      <c r="U258" s="41"/>
      <c r="V258" s="1"/>
      <c r="W258" s="5"/>
      <c r="X258" s="5"/>
      <c r="Y258" s="1"/>
      <c r="Z258" s="1"/>
      <c r="AA258" s="26"/>
    </row>
    <row r="259" spans="19:27" ht="12.75">
      <c r="S259" s="17"/>
      <c r="T259" s="17"/>
      <c r="U259" s="42"/>
      <c r="V259" s="1"/>
      <c r="W259" s="1"/>
      <c r="X259" s="1"/>
      <c r="Y259" s="1"/>
      <c r="Z259" s="1"/>
      <c r="AA259" s="26"/>
    </row>
    <row r="260" spans="19:27" ht="12.75">
      <c r="S260" s="1"/>
      <c r="T260" s="1"/>
      <c r="U260" s="42"/>
      <c r="V260" s="1"/>
      <c r="W260" s="5"/>
      <c r="X260" s="5"/>
      <c r="Y260" s="1"/>
      <c r="Z260" s="1"/>
      <c r="AA260" s="26"/>
    </row>
    <row r="261" spans="19:27" ht="12.75">
      <c r="S261" s="4"/>
      <c r="T261" s="1"/>
      <c r="U261" s="1"/>
      <c r="V261" s="1"/>
      <c r="W261" s="1"/>
      <c r="X261" s="1"/>
      <c r="Y261" s="1"/>
      <c r="Z261" s="1"/>
      <c r="AA261" s="27"/>
    </row>
    <row r="262" spans="19:27" ht="12.75">
      <c r="S262" s="4"/>
      <c r="T262" s="1"/>
      <c r="U262" s="1"/>
      <c r="V262" s="1"/>
      <c r="W262" s="1"/>
      <c r="X262" s="1"/>
      <c r="Y262" s="1"/>
      <c r="Z262" s="1"/>
      <c r="AA262" s="27"/>
    </row>
    <row r="263" spans="19:27" ht="12.75">
      <c r="S263" s="3"/>
      <c r="T263" s="3"/>
      <c r="U263" s="3"/>
      <c r="V263" s="3"/>
      <c r="W263" s="3"/>
      <c r="X263" s="3"/>
      <c r="Y263" s="3"/>
      <c r="Z263" s="3"/>
      <c r="AA263" s="3"/>
    </row>
    <row r="264" spans="19:27" ht="12.75">
      <c r="S264" s="3"/>
      <c r="T264" s="3"/>
      <c r="U264" s="3"/>
      <c r="V264" s="3"/>
      <c r="W264" s="3"/>
      <c r="X264" s="3"/>
      <c r="Y264" s="3"/>
      <c r="Z264" s="3"/>
      <c r="AA264" s="3"/>
    </row>
    <row r="265" spans="19:27" ht="12.75">
      <c r="S265" s="3"/>
      <c r="T265" s="3"/>
      <c r="U265" s="3"/>
      <c r="V265" s="3"/>
      <c r="W265" s="3"/>
      <c r="X265" s="3"/>
      <c r="Y265" s="3"/>
      <c r="Z265" s="3"/>
      <c r="AA265" s="3"/>
    </row>
    <row r="266" spans="19:27" ht="12.75">
      <c r="S266" s="3"/>
      <c r="T266" s="3"/>
      <c r="U266" s="3"/>
      <c r="V266" s="3"/>
      <c r="W266" s="3"/>
      <c r="X266" s="3"/>
      <c r="Y266" s="3"/>
      <c r="Z266" s="3"/>
      <c r="AA266" s="3"/>
    </row>
    <row r="267" spans="19:27" ht="12.75">
      <c r="S267" s="3"/>
      <c r="T267" s="3"/>
      <c r="U267" s="3"/>
      <c r="V267" s="3"/>
      <c r="W267" s="3"/>
      <c r="X267" s="3"/>
      <c r="Y267" s="3"/>
      <c r="Z267" s="3"/>
      <c r="AA267" s="3"/>
    </row>
    <row r="274" spans="19:27" ht="12.75">
      <c r="S274" s="3"/>
      <c r="T274" s="3"/>
      <c r="U274" s="3"/>
      <c r="V274" s="3"/>
      <c r="W274" s="3"/>
      <c r="X274" s="3"/>
      <c r="Y274" s="3"/>
      <c r="Z274" s="3"/>
      <c r="AA274" s="3"/>
    </row>
    <row r="275" spans="19:27" ht="12.75">
      <c r="S275" s="3"/>
      <c r="T275" s="3"/>
      <c r="U275" s="3"/>
      <c r="V275" s="3"/>
      <c r="W275" s="3"/>
      <c r="X275" s="3"/>
      <c r="Y275" s="3"/>
      <c r="Z275" s="3"/>
      <c r="AA275" s="3"/>
    </row>
    <row r="276" spans="19:27" ht="12.75">
      <c r="S276" s="3"/>
      <c r="T276" s="3"/>
      <c r="U276" s="3"/>
      <c r="V276" s="3"/>
      <c r="W276" s="3"/>
      <c r="X276" s="3"/>
      <c r="Y276" s="3"/>
      <c r="Z276" s="3"/>
      <c r="AA276" s="3"/>
    </row>
    <row r="277" spans="19:27" ht="12.75">
      <c r="S277" s="3"/>
      <c r="T277" s="3"/>
      <c r="U277" s="3"/>
      <c r="V277" s="3"/>
      <c r="W277" s="3"/>
      <c r="X277" s="3"/>
      <c r="Y277" s="3"/>
      <c r="Z277" s="3"/>
      <c r="AA277" s="3"/>
    </row>
    <row r="278" spans="19:27" ht="12.75">
      <c r="S278" s="3"/>
      <c r="T278" s="3"/>
      <c r="U278" s="3"/>
      <c r="V278" s="3"/>
      <c r="W278" s="3"/>
      <c r="X278" s="3"/>
      <c r="Y278" s="3"/>
      <c r="Z278" s="3"/>
      <c r="AA278" s="3"/>
    </row>
    <row r="279" spans="19:27" ht="12.75">
      <c r="S279" s="3"/>
      <c r="T279" s="3"/>
      <c r="U279" s="3"/>
      <c r="V279" s="3"/>
      <c r="W279" s="3"/>
      <c r="X279" s="3"/>
      <c r="Y279" s="3"/>
      <c r="Z279" s="3"/>
      <c r="AA279" s="3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главного энергетика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Гришанов Игорь Владимирович</dc:creator>
  <cp:keywords/>
  <dc:description/>
  <cp:lastModifiedBy>Сергей Ю. Ничков</cp:lastModifiedBy>
  <cp:lastPrinted>2021-04-05T07:41:16Z</cp:lastPrinted>
  <dcterms:created xsi:type="dcterms:W3CDTF">1997-07-03T12:02:26Z</dcterms:created>
  <dcterms:modified xsi:type="dcterms:W3CDTF">2021-04-08T05:30:54Z</dcterms:modified>
  <cp:category/>
  <cp:version/>
  <cp:contentType/>
  <cp:contentStatus/>
</cp:coreProperties>
</file>