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40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6" sheetId="5" r:id="rId5"/>
    <sheet name="Лист7" sheetId="6" r:id="rId6"/>
    <sheet name="Лист8" sheetId="7" r:id="rId7"/>
    <sheet name="Лист9" sheetId="8" r:id="rId8"/>
  </sheets>
  <definedNames/>
  <calcPr fullCalcOnLoad="1"/>
</workbook>
</file>

<file path=xl/sharedStrings.xml><?xml version="1.0" encoding="utf-8"?>
<sst xmlns="http://schemas.openxmlformats.org/spreadsheetml/2006/main" count="4004" uniqueCount="341">
  <si>
    <t xml:space="preserve">   </t>
  </si>
  <si>
    <t xml:space="preserve">электроэнергии по подразделениям за  </t>
  </si>
  <si>
    <t>Склады</t>
  </si>
  <si>
    <t>ВСЕГО :</t>
  </si>
  <si>
    <t>Директор филиала центральный сбытом</t>
  </si>
  <si>
    <t>Наружное освещение</t>
  </si>
  <si>
    <t>2. ТРАНЗИТ НА СТОРОНУ,  всего :</t>
  </si>
  <si>
    <t xml:space="preserve">                                      </t>
  </si>
  <si>
    <t xml:space="preserve">                                                6) участок ХВО</t>
  </si>
  <si>
    <t xml:space="preserve">         ВСЕГО ПО ПОДСТАНЦИИ, в том числе :</t>
  </si>
  <si>
    <t>февраль</t>
  </si>
  <si>
    <t>март</t>
  </si>
  <si>
    <t>апрель</t>
  </si>
  <si>
    <t>август</t>
  </si>
  <si>
    <t xml:space="preserve">  в рублях</t>
  </si>
  <si>
    <t xml:space="preserve">  без НДС</t>
  </si>
  <si>
    <t>ИП Черемискин О.И.</t>
  </si>
  <si>
    <t>ЭЭЦ, всего :</t>
  </si>
  <si>
    <t xml:space="preserve">                     в том числе :  1) котельные</t>
  </si>
  <si>
    <t xml:space="preserve">                                               2) сжатый воздух</t>
  </si>
  <si>
    <t xml:space="preserve">                                               3) вода техническая</t>
  </si>
  <si>
    <t xml:space="preserve">                                               4) электро-ремонтное отделение</t>
  </si>
  <si>
    <t xml:space="preserve">                                                5) участок УСП</t>
  </si>
  <si>
    <t xml:space="preserve">                                                в том числе :   1) АТУ</t>
  </si>
  <si>
    <t xml:space="preserve">                                                                          2) ЖДУ</t>
  </si>
  <si>
    <t xml:space="preserve">    </t>
  </si>
  <si>
    <t xml:space="preserve">Наименование подразделений </t>
  </si>
  <si>
    <t>сумма, руб.</t>
  </si>
  <si>
    <t>ЛЭП "БИЗ"</t>
  </si>
  <si>
    <t>КЛ "Посёлок 1"</t>
  </si>
  <si>
    <t>КЛ "Посёлок 2"</t>
  </si>
  <si>
    <t>КЛ "Посёлок 3"</t>
  </si>
  <si>
    <t>КЛ "Посёлок 4"</t>
  </si>
  <si>
    <t>КЛ "Посёлок 5"</t>
  </si>
  <si>
    <t>ВЛ "Скважина-1"</t>
  </si>
  <si>
    <t>ВЛ "Скважина-2"</t>
  </si>
  <si>
    <t>ВЛ "Ключи"</t>
  </si>
  <si>
    <t>КЛ "Очистные-1"</t>
  </si>
  <si>
    <t>КЛ "Очистные-2"</t>
  </si>
  <si>
    <t>КЛ ул. "Заводская"</t>
  </si>
  <si>
    <t>Л.И. Сидорина</t>
  </si>
  <si>
    <t>______________</t>
  </si>
  <si>
    <t>ООО ПКП "Астер-Строй"</t>
  </si>
  <si>
    <t>Итого по всем потребителям</t>
  </si>
  <si>
    <t>июнь</t>
  </si>
  <si>
    <t xml:space="preserve">1.ОАО "Межрегиональная распределительная сетева компания Урала": </t>
  </si>
  <si>
    <t xml:space="preserve">   с сетей посёлка :  общежитие, ( ул. Молодёжная) день</t>
  </si>
  <si>
    <t xml:space="preserve">                                    общежитие, ( ул. Молодёжная ) ночь</t>
  </si>
  <si>
    <t>Главный энергетик                                                                                            С.Ю. Ничков</t>
  </si>
  <si>
    <t>себестоимость за по УСП</t>
  </si>
  <si>
    <t>1.1</t>
  </si>
  <si>
    <t>1.2</t>
  </si>
  <si>
    <t>1.3</t>
  </si>
  <si>
    <t>1.4</t>
  </si>
  <si>
    <t>Согласован объём транзита ОАО "Свердловэнергосбыт"</t>
  </si>
  <si>
    <t>м.п.</t>
  </si>
  <si>
    <t xml:space="preserve">            ____________</t>
  </si>
  <si>
    <t xml:space="preserve">        С.Ю. Ничков</t>
  </si>
  <si>
    <t>1.5</t>
  </si>
  <si>
    <t>ЦЗЛ</t>
  </si>
  <si>
    <t xml:space="preserve">                                              5) УРГПМО</t>
  </si>
  <si>
    <t>ОАО "Газпромнефть-Урал" (АЗС № 20)</t>
  </si>
  <si>
    <t>1.6</t>
  </si>
  <si>
    <t>Одинокова С.Ю.</t>
  </si>
  <si>
    <t>ОАО "МРСК-Урала" (ОП ЗЭС), в т.ч. :</t>
  </si>
  <si>
    <t>1.7</t>
  </si>
  <si>
    <t>1.8</t>
  </si>
  <si>
    <t>1.9</t>
  </si>
  <si>
    <t>1.10</t>
  </si>
  <si>
    <t>1.11</t>
  </si>
  <si>
    <t>1.12</t>
  </si>
  <si>
    <t>ОАО "Свердловэнергосбыт"</t>
  </si>
  <si>
    <t>ООО "Фитакс"</t>
  </si>
  <si>
    <t xml:space="preserve">      </t>
  </si>
  <si>
    <t xml:space="preserve">с сетей завода :                                                                              </t>
  </si>
  <si>
    <t>Кол-во (кВтч)</t>
  </si>
  <si>
    <t>руб./кВт*ч</t>
  </si>
  <si>
    <t xml:space="preserve">    кВт*ч</t>
  </si>
  <si>
    <t xml:space="preserve"> а) в том числе:</t>
  </si>
  <si>
    <t xml:space="preserve">за оплачиваемый расход электроэнергии по СН-2, руб/кВт*ч  </t>
  </si>
  <si>
    <t>за оплачиваемый расход электроэнергии по ВН, руб./кВт*ч</t>
  </si>
  <si>
    <t xml:space="preserve">общежитие,  ул. Клубная - 2а, кв. № 4 </t>
  </si>
  <si>
    <t xml:space="preserve">               тариф на содержание сетей  ВН ( МВт )</t>
  </si>
  <si>
    <t xml:space="preserve">               тариф на оплату потерь ВН ( МВт*ч )</t>
  </si>
  <si>
    <t xml:space="preserve">                тариф на содержание сетей СН- 2 ( МВт )</t>
  </si>
  <si>
    <t xml:space="preserve">                тариф на оплату потерь СН- 2 ( МВт*ч )</t>
  </si>
  <si>
    <t>(доверенность от 12.12.2012 г.   № СЭСБ - 308 )</t>
  </si>
  <si>
    <t>Все шесть потребителей покупающие электрическую энергию в ОАО "Свердловэнергосбыт"</t>
  </si>
  <si>
    <t>показаний</t>
  </si>
  <si>
    <t>Расход,</t>
  </si>
  <si>
    <t>Приложение № 6.1.</t>
  </si>
  <si>
    <t>к договору энергоснабжения от 02.10.2012 г. №640 К66</t>
  </si>
  <si>
    <t>Акт снятия показаний приборов учёта</t>
  </si>
  <si>
    <t>Исполнитель: главный энергетик Ничков С.Ю.</t>
  </si>
  <si>
    <t>телефон: (343) 372-13-55</t>
  </si>
  <si>
    <t>Адрес: 624013, Свердловская область, Сысертский район, п.Двуреченск</t>
  </si>
  <si>
    <t>Точка учёта</t>
  </si>
  <si>
    <t>№ счётчика</t>
  </si>
  <si>
    <t>Коэф.</t>
  </si>
  <si>
    <t>Потери</t>
  </si>
  <si>
    <t>на начало</t>
  </si>
  <si>
    <t>на конец</t>
  </si>
  <si>
    <t>трансфор-</t>
  </si>
  <si>
    <t>кВт*ч</t>
  </si>
  <si>
    <t>периода</t>
  </si>
  <si>
    <t>мации</t>
  </si>
  <si>
    <t>Активная электрическая энергия</t>
  </si>
  <si>
    <t>Сысертский ГО</t>
  </si>
  <si>
    <t>от сетей ОАО "МРСК Урала"</t>
  </si>
  <si>
    <t>Итого по вводам ПС "Ключи"</t>
  </si>
  <si>
    <t>1.1.</t>
  </si>
  <si>
    <t>в том числе: транзит электрической энергии в сети ОАО "МРСК-Урала" (ТСО) (невычитаемый)</t>
  </si>
  <si>
    <t>1.1.1.</t>
  </si>
  <si>
    <t>ВЛ-35 кВ, "БИЗ-Ключи"</t>
  </si>
  <si>
    <t xml:space="preserve">(АЗС №20)                                                  </t>
  </si>
  <si>
    <t xml:space="preserve">ОАО "Газпромнефть-Урал"                  </t>
  </si>
  <si>
    <t>1.2.</t>
  </si>
  <si>
    <t>в том числе: транзит электрической энергии в сети ОАО "МРСК-Урала" (ТСО)</t>
  </si>
  <si>
    <t>1.2.1.</t>
  </si>
  <si>
    <t>бытовые и прочие потребители,</t>
  </si>
  <si>
    <t>1.2.2.</t>
  </si>
  <si>
    <t>(ф."Ключи"), Жилищно-коммунальные,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</si>
  <si>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</si>
  <si>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</si>
  <si>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</si>
  <si>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</si>
  <si>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</si>
  <si>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</si>
  <si>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</si>
  <si>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</si>
  <si>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</si>
  <si>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(ф."Заводская"), Жилищно-коммунальные,</t>
  </si>
  <si>
    <t>(ф."Посёлок-1,7"), Жилищно-коммунальные,</t>
  </si>
  <si>
    <t>(ф."Посёлок-2"), Жилищно-коммунальные,</t>
  </si>
  <si>
    <t>(ф."Посёлок-3"), Жилищно-коммунальные,</t>
  </si>
  <si>
    <t>(ф."Посёлок-4"), Жилищно-коммунальные,</t>
  </si>
  <si>
    <t>(ф."Посёлок-5,6"), Жилищно-коммунальные,</t>
  </si>
  <si>
    <t>(ф."Скважина-1"), Жилищно-коммунальные,</t>
  </si>
  <si>
    <t>(ф."Скважина-2"), Жилищно-коммунальные,</t>
  </si>
  <si>
    <t>(ф."Очистные-1"), Жилищно-коммунальные,</t>
  </si>
  <si>
    <t>(ф."Очистные-2"), Жилищно-коммунальные,</t>
  </si>
  <si>
    <t>Итого транзит в сети</t>
  </si>
  <si>
    <t>в том числе: транзит электрической энергии транзитным Потребителям, имеющим непосредственное технологическое присоединение к сетям</t>
  </si>
  <si>
    <t>Потребителя и заключившим прямые договоры электроснабжения с Гарантирующим поставщиком</t>
  </si>
  <si>
    <t>1.3.</t>
  </si>
  <si>
    <t>1.3.1.</t>
  </si>
  <si>
    <t>Производственные объекты по адресу:</t>
  </si>
  <si>
    <t xml:space="preserve">Сысертский район, п.Двуреченск </t>
  </si>
  <si>
    <t>1.3.2.</t>
  </si>
  <si>
    <t>1.3.3.</t>
  </si>
  <si>
    <t>1.3.4.</t>
  </si>
  <si>
    <t>1.3.5.</t>
  </si>
  <si>
    <t>1.3.6.</t>
  </si>
  <si>
    <t>1.3.7.</t>
  </si>
  <si>
    <t>Итого транзит Потребителям ГП</t>
  </si>
  <si>
    <t>Итого ПС "Ключи"</t>
  </si>
  <si>
    <t>от сетей ОАО "МРСК-Урала"</t>
  </si>
  <si>
    <t>ТП "Береговая насосная" (ввод №1)</t>
  </si>
  <si>
    <t>по адресу: п.Двуреченск, ул.Ленина</t>
  </si>
  <si>
    <t>ТП "Береговая насосная" (ввод №2)</t>
  </si>
  <si>
    <t>2.1.</t>
  </si>
  <si>
    <t>2.2.</t>
  </si>
  <si>
    <t>2.</t>
  </si>
  <si>
    <t>Итого ТП "Береговая насосная"</t>
  </si>
  <si>
    <t>Итого по договору</t>
  </si>
  <si>
    <t>Потребитель:</t>
  </si>
  <si>
    <t>ООО НПО "Изостер"</t>
  </si>
  <si>
    <t>Все потребители покупающие электрическую энергию в ОАО "Свердловэнергосбыт"</t>
  </si>
  <si>
    <t>Настоящее Приложение является неотьемлемой частью Договора энергоснабжения от 02.10.2012 г. № 640 К66</t>
  </si>
  <si>
    <t>от Потребителя:</t>
  </si>
  <si>
    <t>мп</t>
  </si>
  <si>
    <t>___________________ С.Ю. Ничков</t>
  </si>
  <si>
    <t xml:space="preserve">         Показания счётчиков</t>
  </si>
  <si>
    <t>Реактивная электрическая энергия</t>
  </si>
  <si>
    <t>Приложение № 4</t>
  </si>
  <si>
    <t>к договору электроснабжения от 02.10.2012 г. №640</t>
  </si>
  <si>
    <t>Квартира №4, в жилом здании по адресу:</t>
  </si>
  <si>
    <t>п.Двуреченск, ул. Клубная, 2А</t>
  </si>
  <si>
    <t>п.Двуреченск, ул. Молодёжная, д.3     (ночь)</t>
  </si>
  <si>
    <t>Жилое здание по адресу:                        (день)</t>
  </si>
  <si>
    <t>Здравпункт</t>
  </si>
  <si>
    <t>ФЦ № 1</t>
  </si>
  <si>
    <t>ФЦ № 2</t>
  </si>
  <si>
    <t>ЦРМО, всего :</t>
  </si>
  <si>
    <t xml:space="preserve">    2) участок по ремонту мех.обор. ФЦ</t>
  </si>
  <si>
    <t xml:space="preserve">        </t>
  </si>
  <si>
    <t xml:space="preserve">                                                                                          к регламенту формирования баланса электрической</t>
  </si>
  <si>
    <t xml:space="preserve">                                                                                           Приложение № 2</t>
  </si>
  <si>
    <t xml:space="preserve">                                                                                           энергии в сети Исполнителя к договору № 33ПЭ</t>
  </si>
  <si>
    <t xml:space="preserve">            </t>
  </si>
  <si>
    <t>№ п/п</t>
  </si>
  <si>
    <t>Наименование сетевой организации</t>
  </si>
  <si>
    <t xml:space="preserve">             Объём, переданной электроэнергии, кВт*ч</t>
  </si>
  <si>
    <t>Всего</t>
  </si>
  <si>
    <t>ВН</t>
  </si>
  <si>
    <t>СН-1</t>
  </si>
  <si>
    <t>СН-2</t>
  </si>
  <si>
    <t>НН</t>
  </si>
  <si>
    <t>ОАО "Водоканал"</t>
  </si>
  <si>
    <t xml:space="preserve">                                 Сводная ведомость передачи электроэнергии в сети Исполнителя"</t>
  </si>
  <si>
    <t>Столовая</t>
  </si>
  <si>
    <t xml:space="preserve">   Сумма,</t>
  </si>
  <si>
    <t>ООО "КОФ"</t>
  </si>
  <si>
    <t xml:space="preserve">1. ТЕХНОЛОГИЯ ЗАВОДА, всего:                               </t>
  </si>
  <si>
    <t xml:space="preserve"> </t>
  </si>
  <si>
    <t>июль</t>
  </si>
  <si>
    <t>май</t>
  </si>
  <si>
    <t>ИП Глазырина Н.</t>
  </si>
  <si>
    <t>в том числе : 1) РМУ</t>
  </si>
  <si>
    <t xml:space="preserve">   3) РСУ</t>
  </si>
  <si>
    <t xml:space="preserve">   4) Прачечная</t>
  </si>
  <si>
    <t>Заводоуправление,  и  АБК БРЦ</t>
  </si>
  <si>
    <t xml:space="preserve">          по расходу электроэнергии за  </t>
  </si>
  <si>
    <t>Разность</t>
  </si>
  <si>
    <t>Наименование потребителя</t>
  </si>
  <si>
    <t>Расход</t>
  </si>
  <si>
    <t>Тариф,</t>
  </si>
  <si>
    <t>энергии,</t>
  </si>
  <si>
    <t xml:space="preserve">              </t>
  </si>
  <si>
    <t xml:space="preserve">б) Прочие цели завода , всего ( в том числе ) :                                  </t>
  </si>
  <si>
    <t xml:space="preserve">                    </t>
  </si>
  <si>
    <t xml:space="preserve">                   </t>
  </si>
  <si>
    <t xml:space="preserve">                     </t>
  </si>
  <si>
    <t xml:space="preserve">                          </t>
  </si>
  <si>
    <t>Главный энергетик ОАО "Ключевский завод ферросплавов"</t>
  </si>
  <si>
    <t>____________</t>
  </si>
  <si>
    <t>С.Ю. Ничков</t>
  </si>
  <si>
    <t>Руководитель Арамильского отделения ОАО "Свердловэнергосбыт"</t>
  </si>
  <si>
    <t>______________ А.Л. Мартыновских</t>
  </si>
  <si>
    <t xml:space="preserve">   Показания счётчиков</t>
  </si>
  <si>
    <t>кроме того: транзит электрической энергии в сети ОАО "МРСК-Урала" (ТСО) (невычитаемый)</t>
  </si>
  <si>
    <t xml:space="preserve">                                                                      </t>
  </si>
  <si>
    <t xml:space="preserve">                                     ввод №2, Т-2</t>
  </si>
  <si>
    <t>1.3.7.1</t>
  </si>
  <si>
    <t>январь</t>
  </si>
  <si>
    <t xml:space="preserve">ООО Фитакс"                                             </t>
  </si>
  <si>
    <t xml:space="preserve">ООО ПКП "Астер-Строй"       </t>
  </si>
  <si>
    <t xml:space="preserve">ООО НПО "Изостер"                             </t>
  </si>
  <si>
    <t xml:space="preserve">ИП Черемискин О.И.                         </t>
  </si>
  <si>
    <t xml:space="preserve">в том числе Одинокова С.Ю. </t>
  </si>
  <si>
    <t xml:space="preserve">ООО Фитакс"                                       </t>
  </si>
  <si>
    <t xml:space="preserve">ООО ПКП "Астер-Строй"      </t>
  </si>
  <si>
    <t xml:space="preserve">ООО НПО "Изостер"  </t>
  </si>
  <si>
    <t xml:space="preserve">ИП Черемискин О.И.                       </t>
  </si>
  <si>
    <t xml:space="preserve">в том числе Одинокова С.Ю.  </t>
  </si>
  <si>
    <t xml:space="preserve">ОАО "Водоканал"                         </t>
  </si>
  <si>
    <t xml:space="preserve">ОАО "Водоканал"                           </t>
  </si>
  <si>
    <t xml:space="preserve">                               ф. "Стройбаза" ТП № 20</t>
  </si>
  <si>
    <t>на 20 счёт</t>
  </si>
  <si>
    <t>на 25 счёт</t>
  </si>
  <si>
    <t>транзит</t>
  </si>
  <si>
    <t>кол-во, кВт*ч</t>
  </si>
  <si>
    <t>печи</t>
  </si>
  <si>
    <t>дап</t>
  </si>
  <si>
    <t>всего</t>
  </si>
  <si>
    <t>ээц воздух на дап</t>
  </si>
  <si>
    <t>ээц тепло на сторону</t>
  </si>
  <si>
    <t>электроэнергия</t>
  </si>
  <si>
    <t>Сысертский ГО, от сетей ОАО "МРСК Урала"</t>
  </si>
  <si>
    <t>1.1.2.</t>
  </si>
  <si>
    <t>1.1.3.</t>
  </si>
  <si>
    <t>1.1.4.</t>
  </si>
  <si>
    <t>условно-постоянные потери</t>
  </si>
  <si>
    <t>переменные потери</t>
  </si>
  <si>
    <t>Сысертский ГО от сетей ОАО "МРСК Урала"</t>
  </si>
  <si>
    <t>Потребитель: ПАО "Ключевский завод ферросплавов"</t>
  </si>
  <si>
    <t>Главный энергетик ПАО "КЗФ"</t>
  </si>
  <si>
    <t>ПАО "Ключевский завод                                                           Бухгалтерии завода</t>
  </si>
  <si>
    <t>Главный энергетик ПАО "КЗФ"     _________________ С.Ю. Ничков</t>
  </si>
  <si>
    <t>ферросплавов"                              ОТЧЁТ                                 планово-экономическому отделу</t>
  </si>
  <si>
    <t>относятся к группе потребителей - прочие потребители</t>
  </si>
  <si>
    <t xml:space="preserve">                                                          </t>
  </si>
  <si>
    <t>ферросплавов"                              РАСХОД                             Планово-экономическому отделу</t>
  </si>
  <si>
    <t xml:space="preserve">Транспортный цех, всего :    </t>
  </si>
  <si>
    <t>ЦАП ( цех № 3 )</t>
  </si>
  <si>
    <t xml:space="preserve"> от сетей ООО "Стоун"</t>
  </si>
  <si>
    <t>ООО "Стоун",           ввод №1, Т-1</t>
  </si>
  <si>
    <t xml:space="preserve"> от сетей ООО "Стоун"     </t>
  </si>
  <si>
    <t>ОАО "ЭнергосбытПлюс"</t>
  </si>
  <si>
    <t>ООО "Стоун"</t>
  </si>
  <si>
    <t>ОАО "ЭнергосбытПлюс" зап.сбыт</t>
  </si>
  <si>
    <t>ввод № 1</t>
  </si>
  <si>
    <t>ввод №2</t>
  </si>
  <si>
    <t>ООО "Стоун",      РП № 16, ввод №1, Т-1</t>
  </si>
  <si>
    <t xml:space="preserve">                                РП № 16, ввод №2, Т-2</t>
  </si>
  <si>
    <t>карьер</t>
  </si>
  <si>
    <t>Представитель ОАО "МРСК-Урала" ( ЦЭС)</t>
  </si>
  <si>
    <t xml:space="preserve">суточный расход э/э с ПС №3 на паровую за 1 - 1886,4, за 2 - 1895,4 </t>
  </si>
  <si>
    <t>к расчёту принимаем среднее значение 1891 * 31 = 58621 кВт*ч месяц</t>
  </si>
  <si>
    <t>за январь 2021 г.</t>
  </si>
  <si>
    <t>Главный энергетик ПАО "Ключевский завод ферросплавов" по доверенности № 13-2/127 от 18.12.2020 г.         ______________ С.Ю. Ничков</t>
  </si>
  <si>
    <t>(доверенность от 18.12.2020 г. № 13-2/127 )</t>
  </si>
  <si>
    <t>за январь 2021 года</t>
  </si>
  <si>
    <t xml:space="preserve">   2021 г.</t>
  </si>
  <si>
    <t>07-9/        " ___ " января 2021 г.   Главный энергетик                                                                                                                   С.Ю. Ничков</t>
  </si>
  <si>
    <t xml:space="preserve">  2021 г.</t>
  </si>
  <si>
    <t xml:space="preserve">07-9/        "___ " января  2021 г. </t>
  </si>
  <si>
    <t>за февраль 2021 г.</t>
  </si>
  <si>
    <t>за февраль 2021 года</t>
  </si>
  <si>
    <t>к расчёту принимаем среднее значение 1891 * 28 = 52 948 кВт*ч месяц</t>
  </si>
  <si>
    <t>07-9/        " ___ " февраля 2021 г.   Главный энергетик                                                                                                                   С.Ю. Ничков</t>
  </si>
  <si>
    <t xml:space="preserve">07-9/        "___ " февраля  2021 г. </t>
  </si>
  <si>
    <t xml:space="preserve">суточный расход э/э с ПС №3 на паровую за 1 января ЦАП стоял - 1886,4, за 2 января ЦАП стоял - 1895,4 </t>
  </si>
  <si>
    <t>за март 2021 г.</t>
  </si>
  <si>
    <t>к расчёту принимаем среднее значение 1891 * 31 = 58 621 кВт*ч месяц</t>
  </si>
  <si>
    <t>за март 2021 года</t>
  </si>
  <si>
    <t>07-9/        " ___ " марта 2021 г.   Главный энергетик                                                                                                                   С.Ю. Ничков</t>
  </si>
  <si>
    <t xml:space="preserve">07-9/        "___ " марта  2021 г. </t>
  </si>
  <si>
    <t>за апрель 2021 г.</t>
  </si>
  <si>
    <t>за апрель 2021 года</t>
  </si>
  <si>
    <t>07-9/        " ___ " апреля 2021 г.   Главный энергетик                                                                                                                   С.Ю. Ничков</t>
  </si>
  <si>
    <t xml:space="preserve">07-9/        "___ " апреля  2021 г. </t>
  </si>
  <si>
    <t>за май 2021 г.</t>
  </si>
  <si>
    <t>за май 2021 года</t>
  </si>
  <si>
    <t>07-9/        " ___ " мая 2021 г.   Главный энергетик                                                                                                                   С.Ю. Ничков</t>
  </si>
  <si>
    <t>С мая по сентябрь работает паровая с бойлерной с ТП №3 в мае работало два паровых котла</t>
  </si>
  <si>
    <t>суммарная часовая нагрузка составляет 331 кВт * 24*31*0,9* 0,6 = 132 983</t>
  </si>
  <si>
    <t xml:space="preserve">07-9/        "___ " мая  2021 г. </t>
  </si>
  <si>
    <t>за июнь 2021 г.</t>
  </si>
  <si>
    <t>07-9/        " ___ " июня 2021 г.   Главный энергетик                                                                                                                   С.Ю. Ничков</t>
  </si>
  <si>
    <t xml:space="preserve"> С июня по август работает паровая с бойлерной с ТП №3 в работе один паровой котёл ДКВ-6,5</t>
  </si>
  <si>
    <t xml:space="preserve"> май и сентябрь работает паровая с бойлерной с ТП №3 в мае, сентябре работают два паровых котла ДКВ - 4</t>
  </si>
  <si>
    <t>суммарная часовая нагрузка составляет 185 кВт * 24*31*0,9* 0,6 = 71 928</t>
  </si>
  <si>
    <t xml:space="preserve">07-9/        "___ " июня  2021 г. </t>
  </si>
  <si>
    <t>за июнь 2021 года</t>
  </si>
  <si>
    <t>За 15 июля 2021 года средняя общая часовая нагрузка на Т-1 составляла 138,04 кВт*ч</t>
  </si>
  <si>
    <t>за 18 июля 2021 года работал только ЭЭЦ (паровая котельная) средняя часовая нагрузка составляла 112,46 кВт*ч</t>
  </si>
  <si>
    <t>ПС № 3 Т-1</t>
  </si>
  <si>
    <t>ПС №3 Т-2</t>
  </si>
  <si>
    <t>За 15 июля 2021 года средняя общая часовая нагрузка на Т-2 составляла 134,55 кВт*ч</t>
  </si>
  <si>
    <t>за 18 июля 2021 года работал только ЭЭЦ (паровая котельная) средняя часовая нагрузка составляла 33,64 кВт*ч</t>
  </si>
  <si>
    <t xml:space="preserve">Фактическая снятая часовая нагрузка ЦАП составляла 134,55 - 33,64 = 100,91 кВт*ч * 24* 30 = 72 655,2 кВт*ч/месяц </t>
  </si>
  <si>
    <t>Фактическая снятая часовая нагрузка ЦАП составляла 138,04 - 112,46 = 25,58 кВт*ч * 24* 30 = 18 417,6 кВт*ч/месяц</t>
  </si>
  <si>
    <t>за июль 2021 г.</t>
  </si>
  <si>
    <t>за июль 2021 года</t>
  </si>
  <si>
    <t>07-9/        " ___ " июля 2021 г.   Главный энергетик                                                                                                                   С.Ю. Ничков</t>
  </si>
  <si>
    <t xml:space="preserve">07-9/        "___ " июля  2021 г. </t>
  </si>
  <si>
    <t>за август 2021 г.</t>
  </si>
  <si>
    <t>за август 2021 года</t>
  </si>
  <si>
    <t>07-9/        " ___ " августа 2021 г.   Главный энергетик                                                                                                                   С.Ю. Ничков</t>
  </si>
  <si>
    <t xml:space="preserve">07-9/        "___ " августа  2021 г.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</si>
</sst>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0.00000"/>
    <numFmt numFmtId="178" formatCode="0.000000"/>
    <numFmt numFmtId="179" formatCode="#,##0.000_р_."/>
    <numFmt numFmtId="180" formatCode="#,##0.0000_р_."/>
    <numFmt numFmtId="181" formatCode="#,##0.00_р_."/>
    <numFmt numFmtId="182" formatCode="#,##0.00000_р_."/>
    <numFmt numFmtId="183" formatCode="#,##0.0"/>
    <numFmt numFmtId="184" formatCode="#,##0.000000_р_."/>
    <numFmt numFmtId="185" formatCode="#,##0.0000"/>
    <numFmt numFmtId="186" formatCode="0000.0"/>
    <numFmt numFmtId="187" formatCode="#,##0.0_р_."/>
    <numFmt numFmtId="188" formatCode="#,##0.000"/>
    <numFmt numFmtId="189" formatCode="000000.0"/>
    <numFmt numFmtId="190" formatCode="00000.0"/>
    <numFmt numFmtId="191" formatCode="000000.00"/>
    <numFmt numFmtId="192" formatCode="0.00000000"/>
    <numFmt numFmtId="193" formatCode="#,##0.0000000_р_."/>
    <numFmt numFmtId="194" formatCode="#,##0.00000000_р_."/>
    <numFmt numFmtId="195" formatCode="0.000000000"/>
    <numFmt numFmtId="196" formatCode="#,##0.000000000_р_."/>
    <numFmt numFmtId="197" formatCode="0.0000000000"/>
    <numFmt numFmtId="198" formatCode="#,##0.0000000000_р_."/>
    <numFmt numFmtId="199" formatCode="00000"/>
    <numFmt numFmtId="200" formatCode="0.0000000"/>
    <numFmt numFmtId="201" formatCode="000000"/>
    <numFmt numFmtId="202" formatCode="0000000000000000"/>
    <numFmt numFmtId="203" formatCode="0.000"/>
    <numFmt numFmtId="204" formatCode="[$-FC19]d\ mmmm\ yyyy\ &quot;г.&quot;"/>
    <numFmt numFmtId="205" formatCode="0000.000"/>
    <numFmt numFmtId="206" formatCode="0000000000"/>
    <numFmt numFmtId="207" formatCode="00000000"/>
    <numFmt numFmtId="208" formatCode="0000000"/>
    <numFmt numFmtId="209" formatCode="000000.0000"/>
    <numFmt numFmtId="210" formatCode="0.0000"/>
    <numFmt numFmtId="211" formatCode="#,##0.000000000"/>
    <numFmt numFmtId="212" formatCode="#,##0_р_."/>
    <numFmt numFmtId="213" formatCode="00000.0000"/>
    <numFmt numFmtId="214" formatCode="00000.00"/>
    <numFmt numFmtId="215" formatCode="000000.000"/>
    <numFmt numFmtId="216" formatCode="00000.000"/>
    <numFmt numFmtId="217" formatCode="#,##0.00&quot;р.&quot;"/>
    <numFmt numFmtId="218" formatCode="000000000"/>
    <numFmt numFmtId="219" formatCode="#,##0.00000"/>
    <numFmt numFmtId="220" formatCode="#,##0.000000"/>
    <numFmt numFmtId="221" formatCode="#,##0.0000000"/>
    <numFmt numFmtId="222" formatCode="#,##0.00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Alignment="1">
      <alignment/>
    </xf>
    <xf numFmtId="0" fontId="6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3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206" fontId="11" fillId="0" borderId="18" xfId="0" applyNumberFormat="1" applyFont="1" applyBorder="1" applyAlignment="1">
      <alignment horizontal="center"/>
    </xf>
    <xf numFmtId="206" fontId="11" fillId="0" borderId="20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90" fontId="11" fillId="0" borderId="2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23" xfId="0" applyFont="1" applyBorder="1" applyAlignment="1">
      <alignment horizontal="center"/>
    </xf>
    <xf numFmtId="190" fontId="11" fillId="0" borderId="23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" fontId="12" fillId="0" borderId="11" xfId="0" applyNumberFormat="1" applyFont="1" applyBorder="1" applyAlignment="1">
      <alignment horizontal="center"/>
    </xf>
    <xf numFmtId="189" fontId="11" fillId="0" borderId="11" xfId="0" applyNumberFormat="1" applyFont="1" applyBorder="1" applyAlignment="1">
      <alignment/>
    </xf>
    <xf numFmtId="176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207" fontId="11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206" fontId="11" fillId="0" borderId="10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176" fontId="12" fillId="0" borderId="24" xfId="0" applyNumberFormat="1" applyFont="1" applyBorder="1" applyAlignment="1">
      <alignment/>
    </xf>
    <xf numFmtId="1" fontId="11" fillId="0" borderId="24" xfId="0" applyNumberFormat="1" applyFont="1" applyBorder="1" applyAlignment="1">
      <alignment horizontal="center"/>
    </xf>
    <xf numFmtId="189" fontId="11" fillId="0" borderId="24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1" fontId="11" fillId="0" borderId="23" xfId="0" applyNumberFormat="1" applyFont="1" applyBorder="1" applyAlignment="1">
      <alignment horizontal="center"/>
    </xf>
    <xf numFmtId="189" fontId="11" fillId="0" borderId="23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176" fontId="11" fillId="0" borderId="20" xfId="0" applyNumberFormat="1" applyFont="1" applyBorder="1" applyAlignment="1">
      <alignment horizontal="center"/>
    </xf>
    <xf numFmtId="190" fontId="11" fillId="0" borderId="20" xfId="0" applyNumberFormat="1" applyFont="1" applyBorder="1" applyAlignment="1">
      <alignment horizontal="center"/>
    </xf>
    <xf numFmtId="183" fontId="11" fillId="0" borderId="20" xfId="0" applyNumberFormat="1" applyFont="1" applyBorder="1" applyAlignment="1">
      <alignment horizontal="center"/>
    </xf>
    <xf numFmtId="209" fontId="11" fillId="0" borderId="10" xfId="0" applyNumberFormat="1" applyFont="1" applyBorder="1" applyAlignment="1">
      <alignment horizontal="center"/>
    </xf>
    <xf numFmtId="186" fontId="11" fillId="0" borderId="10" xfId="0" applyNumberFormat="1" applyFont="1" applyBorder="1" applyAlignment="1">
      <alignment horizontal="center"/>
    </xf>
    <xf numFmtId="176" fontId="11" fillId="0" borderId="18" xfId="0" applyNumberFormat="1" applyFont="1" applyBorder="1" applyAlignment="1">
      <alignment horizontal="center"/>
    </xf>
    <xf numFmtId="190" fontId="11" fillId="0" borderId="18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185" fontId="11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180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81" fontId="11" fillId="0" borderId="13" xfId="0" applyNumberFormat="1" applyFont="1" applyBorder="1" applyAlignment="1">
      <alignment/>
    </xf>
    <xf numFmtId="181" fontId="11" fillId="0" borderId="17" xfId="0" applyNumberFormat="1" applyFont="1" applyBorder="1" applyAlignment="1">
      <alignment/>
    </xf>
    <xf numFmtId="210" fontId="11" fillId="0" borderId="10" xfId="0" applyNumberFormat="1" applyFont="1" applyBorder="1" applyAlignment="1">
      <alignment horizontal="center"/>
    </xf>
    <xf numFmtId="185" fontId="11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23" xfId="0" applyFont="1" applyBorder="1" applyAlignment="1">
      <alignment/>
    </xf>
    <xf numFmtId="197" fontId="13" fillId="0" borderId="21" xfId="0" applyNumberFormat="1" applyFont="1" applyBorder="1" applyAlignment="1">
      <alignment horizontal="center"/>
    </xf>
    <xf numFmtId="183" fontId="11" fillId="0" borderId="18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/>
    </xf>
    <xf numFmtId="182" fontId="11" fillId="0" borderId="2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/>
    </xf>
    <xf numFmtId="186" fontId="11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1" fillId="0" borderId="0" xfId="0" applyNumberFormat="1" applyFont="1" applyAlignment="1">
      <alignment/>
    </xf>
    <xf numFmtId="211" fontId="11" fillId="0" borderId="0" xfId="0" applyNumberFormat="1" applyFont="1" applyAlignment="1">
      <alignment/>
    </xf>
    <xf numFmtId="0" fontId="12" fillId="0" borderId="21" xfId="0" applyFont="1" applyBorder="1" applyAlignment="1">
      <alignment/>
    </xf>
    <xf numFmtId="3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212" fontId="11" fillId="0" borderId="2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80" fontId="11" fillId="0" borderId="2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194" fontId="10" fillId="0" borderId="10" xfId="0" applyNumberFormat="1" applyFont="1" applyBorder="1" applyAlignment="1">
      <alignment horizontal="center"/>
    </xf>
    <xf numFmtId="183" fontId="11" fillId="0" borderId="22" xfId="0" applyNumberFormat="1" applyFont="1" applyBorder="1" applyAlignment="1">
      <alignment horizontal="center"/>
    </xf>
    <xf numFmtId="179" fontId="11" fillId="0" borderId="10" xfId="0" applyNumberFormat="1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94" fontId="11" fillId="0" borderId="21" xfId="0" applyNumberFormat="1" applyFont="1" applyBorder="1" applyAlignment="1">
      <alignment horizontal="center"/>
    </xf>
    <xf numFmtId="194" fontId="11" fillId="0" borderId="10" xfId="0" applyNumberFormat="1" applyFont="1" applyBorder="1" applyAlignment="1">
      <alignment horizontal="center"/>
    </xf>
    <xf numFmtId="180" fontId="11" fillId="0" borderId="21" xfId="0" applyNumberFormat="1" applyFont="1" applyBorder="1" applyAlignment="1">
      <alignment horizontal="center"/>
    </xf>
    <xf numFmtId="184" fontId="11" fillId="0" borderId="21" xfId="0" applyNumberFormat="1" applyFont="1" applyBorder="1" applyAlignment="1">
      <alignment horizontal="center"/>
    </xf>
    <xf numFmtId="196" fontId="13" fillId="0" borderId="21" xfId="0" applyNumberFormat="1" applyFont="1" applyBorder="1" applyAlignment="1">
      <alignment horizontal="center"/>
    </xf>
    <xf numFmtId="182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188" fontId="11" fillId="0" borderId="22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213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07" fontId="11" fillId="0" borderId="22" xfId="0" applyNumberFormat="1" applyFont="1" applyBorder="1" applyAlignment="1">
      <alignment horizontal="center"/>
    </xf>
    <xf numFmtId="206" fontId="11" fillId="0" borderId="22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22" xfId="0" applyFont="1" applyBorder="1" applyAlignment="1">
      <alignment horizontal="center"/>
    </xf>
    <xf numFmtId="208" fontId="11" fillId="0" borderId="22" xfId="0" applyNumberFormat="1" applyFont="1" applyBorder="1" applyAlignment="1">
      <alignment horizontal="center"/>
    </xf>
    <xf numFmtId="202" fontId="13" fillId="0" borderId="22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8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202" fontId="13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" fontId="11" fillId="0" borderId="18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214" fontId="11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09" fontId="11" fillId="0" borderId="20" xfId="0" applyNumberFormat="1" applyFont="1" applyBorder="1" applyAlignment="1">
      <alignment horizontal="center"/>
    </xf>
    <xf numFmtId="210" fontId="11" fillId="0" borderId="20" xfId="0" applyNumberFormat="1" applyFont="1" applyBorder="1" applyAlignment="1">
      <alignment horizontal="center"/>
    </xf>
    <xf numFmtId="213" fontId="11" fillId="0" borderId="18" xfId="0" applyNumberFormat="1" applyFont="1" applyBorder="1" applyAlignment="1">
      <alignment horizontal="center"/>
    </xf>
    <xf numFmtId="210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17" fontId="11" fillId="0" borderId="0" xfId="0" applyNumberFormat="1" applyFont="1" applyAlignment="1">
      <alignment horizontal="center"/>
    </xf>
    <xf numFmtId="206" fontId="11" fillId="0" borderId="24" xfId="0" applyNumberFormat="1" applyFont="1" applyBorder="1" applyAlignment="1">
      <alignment horizontal="center"/>
    </xf>
    <xf numFmtId="209" fontId="11" fillId="0" borderId="24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210" fontId="11" fillId="0" borderId="24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191" fontId="11" fillId="0" borderId="10" xfId="0" applyNumberFormat="1" applyFont="1" applyBorder="1" applyAlignment="1">
      <alignment horizontal="center"/>
    </xf>
    <xf numFmtId="218" fontId="13" fillId="0" borderId="10" xfId="0" applyNumberFormat="1" applyFont="1" applyBorder="1" applyAlignment="1">
      <alignment horizontal="center"/>
    </xf>
    <xf numFmtId="213" fontId="11" fillId="0" borderId="13" xfId="0" applyNumberFormat="1" applyFont="1" applyBorder="1" applyAlignment="1">
      <alignment horizontal="center"/>
    </xf>
    <xf numFmtId="190" fontId="11" fillId="0" borderId="15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3" fontId="51" fillId="0" borderId="22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3" fontId="51" fillId="0" borderId="18" xfId="0" applyNumberFormat="1" applyFont="1" applyBorder="1" applyAlignment="1">
      <alignment horizontal="center"/>
    </xf>
    <xf numFmtId="0" fontId="51" fillId="0" borderId="18" xfId="0" applyFont="1" applyBorder="1" applyAlignment="1">
      <alignment/>
    </xf>
    <xf numFmtId="3" fontId="51" fillId="0" borderId="2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37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5.625" style="0" customWidth="1"/>
    <col min="2" max="2" width="37.625" style="0" customWidth="1"/>
    <col min="3" max="3" width="14.875" style="0" customWidth="1"/>
    <col min="4" max="4" width="13.25390625" style="0" customWidth="1"/>
    <col min="5" max="5" width="12.625" style="0" customWidth="1"/>
    <col min="6" max="6" width="9.375" style="0" customWidth="1"/>
    <col min="7" max="7" width="10.375" style="0" customWidth="1"/>
    <col min="8" max="8" width="7.125" style="0" customWidth="1"/>
    <col min="9" max="9" width="12.25390625" style="0" customWidth="1"/>
    <col min="10" max="10" width="5.625" style="0" customWidth="1"/>
    <col min="11" max="11" width="36.75390625" style="0" customWidth="1"/>
    <col min="12" max="12" width="14.875" style="0" customWidth="1"/>
    <col min="13" max="13" width="13.25390625" style="0" customWidth="1"/>
    <col min="14" max="14" width="12.375" style="0" customWidth="1"/>
    <col min="15" max="15" width="9.375" style="0" customWidth="1"/>
    <col min="16" max="16" width="10.375" style="0" customWidth="1"/>
    <col min="18" max="18" width="12.375" style="0" customWidth="1"/>
    <col min="19" max="19" width="6.75390625" style="0" customWidth="1"/>
    <col min="20" max="20" width="12.375" style="0" customWidth="1"/>
    <col min="21" max="21" width="10.25390625" style="0" customWidth="1"/>
    <col min="22" max="22" width="25.25390625" style="0" customWidth="1"/>
    <col min="23" max="23" width="13.625" style="0" customWidth="1"/>
    <col min="24" max="24" width="14.625" style="0" customWidth="1"/>
    <col min="25" max="25" width="13.125" style="0" customWidth="1"/>
    <col min="26" max="26" width="13.25390625" style="0" customWidth="1"/>
    <col min="27" max="27" width="11.625" style="0" customWidth="1"/>
    <col min="28" max="28" width="7.75390625" style="0" customWidth="1"/>
    <col min="31" max="31" width="38.00390625" style="0" customWidth="1"/>
    <col min="32" max="32" width="11.25390625" style="0" customWidth="1"/>
    <col min="33" max="33" width="11.625" style="0" customWidth="1"/>
    <col min="34" max="34" width="11.75390625" style="0" customWidth="1"/>
    <col min="35" max="35" width="12.75390625" style="0" customWidth="1"/>
    <col min="36" max="36" width="12.00390625" style="0" customWidth="1"/>
    <col min="37" max="37" width="6.375" style="0" customWidth="1"/>
    <col min="40" max="40" width="31.625" style="0" customWidth="1"/>
    <col min="41" max="41" width="13.125" style="0" customWidth="1"/>
    <col min="42" max="42" width="12.75390625" style="0" customWidth="1"/>
    <col min="43" max="43" width="12.00390625" style="0" customWidth="1"/>
    <col min="44" max="44" width="12.875" style="0" customWidth="1"/>
    <col min="45" max="45" width="12.375" style="0" customWidth="1"/>
    <col min="51" max="51" width="31.125" style="0" customWidth="1"/>
    <col min="52" max="52" width="13.375" style="0" customWidth="1"/>
    <col min="53" max="53" width="13.125" style="0" customWidth="1"/>
    <col min="54" max="54" width="14.375" style="0" customWidth="1"/>
    <col min="56" max="56" width="11.125" style="0" customWidth="1"/>
    <col min="59" max="59" width="17.75390625" style="0" customWidth="1"/>
    <col min="60" max="60" width="22.375" style="0" customWidth="1"/>
    <col min="61" max="61" width="14.875" style="0" customWidth="1"/>
    <col min="62" max="62" width="12.25390625" style="0" customWidth="1"/>
    <col min="63" max="63" width="11.75390625" style="0" customWidth="1"/>
    <col min="64" max="64" width="10.00390625" style="0" customWidth="1"/>
    <col min="68" max="68" width="6.75390625" style="0" customWidth="1"/>
    <col min="69" max="69" width="10.625" style="0" customWidth="1"/>
    <col min="78" max="78" width="11.625" style="0" customWidth="1"/>
    <col min="84" max="84" width="10.37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90</v>
      </c>
      <c r="E2" s="47"/>
      <c r="F2" s="47"/>
      <c r="G2" s="47"/>
      <c r="H2" s="47"/>
      <c r="I2" s="47"/>
      <c r="J2" s="47"/>
      <c r="K2" s="47"/>
      <c r="L2" s="47"/>
      <c r="M2" s="47" t="s">
        <v>174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187</v>
      </c>
      <c r="AC2" s="47"/>
      <c r="AD2" s="47"/>
      <c r="AE2" s="47"/>
      <c r="AF2" s="47"/>
      <c r="AG2" s="47"/>
      <c r="AH2" s="47"/>
      <c r="AI2" s="47"/>
      <c r="AJ2" s="47"/>
      <c r="AK2" s="47" t="s">
        <v>187</v>
      </c>
      <c r="AL2" s="47"/>
      <c r="AM2" s="47"/>
      <c r="AN2" s="47"/>
      <c r="AO2" s="47"/>
      <c r="AP2" s="47"/>
      <c r="AQ2" s="47"/>
      <c r="AR2" s="47"/>
      <c r="AS2" s="47"/>
      <c r="AT2" s="64" t="s">
        <v>267</v>
      </c>
      <c r="AU2" s="47"/>
      <c r="AV2" s="47"/>
      <c r="AW2" s="47"/>
      <c r="AX2" s="47"/>
      <c r="AY2" s="47"/>
      <c r="AZ2" s="47"/>
      <c r="BA2" s="47"/>
      <c r="BB2" s="47"/>
    </row>
    <row r="3" spans="1:67" ht="12.75">
      <c r="A3" s="47"/>
      <c r="B3" s="47"/>
      <c r="C3" s="47"/>
      <c r="D3" s="47" t="s">
        <v>91</v>
      </c>
      <c r="E3" s="47"/>
      <c r="F3" s="47"/>
      <c r="G3" s="47"/>
      <c r="H3" s="47"/>
      <c r="I3" s="47"/>
      <c r="J3" s="47"/>
      <c r="K3" s="47"/>
      <c r="L3" s="47"/>
      <c r="M3" s="47" t="s">
        <v>175</v>
      </c>
      <c r="N3" s="47"/>
      <c r="O3" s="47"/>
      <c r="P3" s="47"/>
      <c r="Q3" s="47"/>
      <c r="R3" s="47"/>
      <c r="S3" s="47" t="s">
        <v>187</v>
      </c>
      <c r="T3" s="47"/>
      <c r="U3" s="47"/>
      <c r="V3" s="47"/>
      <c r="W3" s="47"/>
      <c r="X3" s="47"/>
      <c r="Y3" s="47"/>
      <c r="Z3" s="47"/>
      <c r="AA3" s="47"/>
      <c r="AB3" s="47" t="s">
        <v>186</v>
      </c>
      <c r="AC3" s="47"/>
      <c r="AD3" s="47"/>
      <c r="AE3" s="47"/>
      <c r="AF3" s="47"/>
      <c r="AG3" s="47"/>
      <c r="AH3" s="47"/>
      <c r="AI3" s="47"/>
      <c r="AJ3" s="47"/>
      <c r="AK3" s="47" t="s">
        <v>186</v>
      </c>
      <c r="AL3" s="47"/>
      <c r="AM3" s="47"/>
      <c r="AN3" s="47"/>
      <c r="AO3" s="47"/>
      <c r="AP3" s="47"/>
      <c r="AQ3" s="47"/>
      <c r="AR3" s="47"/>
      <c r="AS3" s="47"/>
      <c r="AT3" s="64" t="s">
        <v>269</v>
      </c>
      <c r="AU3" s="47"/>
      <c r="AV3" s="47"/>
      <c r="AW3" s="47"/>
      <c r="AX3" s="47"/>
      <c r="AY3" s="47"/>
      <c r="AZ3" s="47"/>
      <c r="BA3" s="47"/>
      <c r="BB3" s="47"/>
      <c r="BG3" s="48"/>
      <c r="BH3" s="73"/>
      <c r="BI3" s="48"/>
      <c r="BJ3" s="116"/>
      <c r="BK3" s="117"/>
      <c r="BL3" s="48"/>
      <c r="BM3" s="48"/>
      <c r="BN3" s="48"/>
      <c r="BO3" s="48"/>
    </row>
    <row r="4" spans="1:67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186</v>
      </c>
      <c r="T4" s="47"/>
      <c r="U4" s="47"/>
      <c r="V4" s="47"/>
      <c r="W4" s="47"/>
      <c r="X4" s="47"/>
      <c r="Y4" s="47"/>
      <c r="Z4" s="47"/>
      <c r="AA4" s="47"/>
      <c r="AB4" s="47" t="s">
        <v>188</v>
      </c>
      <c r="AC4" s="47"/>
      <c r="AD4" s="47"/>
      <c r="AE4" s="47"/>
      <c r="AF4" s="47"/>
      <c r="AG4" s="47"/>
      <c r="AH4" s="47"/>
      <c r="AI4" s="47"/>
      <c r="AJ4" s="47"/>
      <c r="AK4" s="47" t="s">
        <v>188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212</v>
      </c>
      <c r="AV4" s="47"/>
      <c r="AW4" s="47"/>
      <c r="AX4" s="47"/>
      <c r="AY4" s="144" t="s">
        <v>234</v>
      </c>
      <c r="AZ4" s="144" t="s">
        <v>293</v>
      </c>
      <c r="BA4" s="47"/>
      <c r="BB4" s="47"/>
      <c r="BG4" s="74"/>
      <c r="BH4" s="74"/>
      <c r="BI4" s="74"/>
      <c r="BJ4" s="48"/>
      <c r="BK4" s="50"/>
      <c r="BL4" s="74"/>
      <c r="BM4" s="74"/>
      <c r="BN4" s="74"/>
      <c r="BO4" s="74"/>
    </row>
    <row r="5" spans="1:67" ht="12.75">
      <c r="A5" s="47"/>
      <c r="B5" s="47"/>
      <c r="C5" s="47" t="s">
        <v>92</v>
      </c>
      <c r="D5" s="47"/>
      <c r="E5" s="47"/>
      <c r="F5" s="47"/>
      <c r="G5" s="47"/>
      <c r="H5" s="47"/>
      <c r="I5" s="47"/>
      <c r="J5" s="47"/>
      <c r="K5" s="47"/>
      <c r="L5" s="47" t="s">
        <v>92</v>
      </c>
      <c r="M5" s="47"/>
      <c r="N5" s="47"/>
      <c r="O5" s="47"/>
      <c r="P5" s="47"/>
      <c r="Q5" s="47"/>
      <c r="R5" s="47"/>
      <c r="S5" s="47" t="s">
        <v>188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214</v>
      </c>
      <c r="AV5" s="51"/>
      <c r="AW5" s="51"/>
      <c r="AX5" s="51"/>
      <c r="AY5" s="51"/>
      <c r="AZ5" s="50" t="s">
        <v>215</v>
      </c>
      <c r="BA5" s="50" t="s">
        <v>216</v>
      </c>
      <c r="BB5" s="48" t="s">
        <v>201</v>
      </c>
      <c r="BG5" s="49"/>
      <c r="BH5" s="49"/>
      <c r="BI5" s="49"/>
      <c r="BJ5" s="49"/>
      <c r="BK5" s="46"/>
      <c r="BL5" s="49"/>
      <c r="BM5" s="49"/>
      <c r="BN5" s="49"/>
      <c r="BO5" s="49"/>
    </row>
    <row r="6" spans="1:67" ht="12.75">
      <c r="A6" s="47"/>
      <c r="B6" s="47"/>
      <c r="C6" s="47"/>
      <c r="D6" s="167" t="s">
        <v>289</v>
      </c>
      <c r="E6" s="167"/>
      <c r="F6" s="47"/>
      <c r="G6" s="47"/>
      <c r="H6" s="47"/>
      <c r="I6" s="47"/>
      <c r="J6" s="47"/>
      <c r="K6" s="47"/>
      <c r="L6" s="47"/>
      <c r="M6" s="167" t="s">
        <v>289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217</v>
      </c>
      <c r="BA6" s="63" t="s">
        <v>76</v>
      </c>
      <c r="BB6" s="74" t="s">
        <v>14</v>
      </c>
      <c r="BG6" s="57"/>
      <c r="BH6" s="57"/>
      <c r="BI6" s="57"/>
      <c r="BJ6" s="57"/>
      <c r="BK6" s="57"/>
      <c r="BL6" s="57"/>
      <c r="BM6" s="57"/>
      <c r="BN6" s="57"/>
      <c r="BO6" s="57"/>
    </row>
    <row r="7" spans="1:67" ht="12.75">
      <c r="A7" s="47" t="s">
        <v>265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77</v>
      </c>
      <c r="BA7" s="46"/>
      <c r="BB7" s="49" t="s">
        <v>15</v>
      </c>
      <c r="BG7" s="42"/>
      <c r="BH7" s="42"/>
      <c r="BI7" s="230"/>
      <c r="BJ7" s="231"/>
      <c r="BK7" s="231"/>
      <c r="BL7" s="232"/>
      <c r="BM7" s="231"/>
      <c r="BN7" s="230"/>
      <c r="BO7" s="60"/>
    </row>
    <row r="8" spans="1:67" ht="12.75">
      <c r="A8" s="47" t="s">
        <v>93</v>
      </c>
      <c r="B8" s="47"/>
      <c r="C8" s="47"/>
      <c r="D8" s="47"/>
      <c r="E8" s="47"/>
      <c r="F8" s="47"/>
      <c r="G8" s="47"/>
      <c r="H8" s="47"/>
      <c r="I8" s="47"/>
      <c r="J8" s="47" t="s">
        <v>265</v>
      </c>
      <c r="K8" s="47"/>
      <c r="L8" s="47"/>
      <c r="M8" s="47"/>
      <c r="N8" s="47"/>
      <c r="O8" s="47"/>
      <c r="P8" s="47"/>
      <c r="Q8" s="47"/>
      <c r="R8" s="47"/>
      <c r="S8" s="47" t="s">
        <v>199</v>
      </c>
      <c r="T8" s="47"/>
      <c r="U8" s="47"/>
      <c r="V8" s="47"/>
      <c r="W8" s="47"/>
      <c r="X8" s="47"/>
      <c r="Y8" s="47"/>
      <c r="Z8" s="47"/>
      <c r="AA8" s="47"/>
      <c r="AB8" s="47" t="s">
        <v>199</v>
      </c>
      <c r="AC8" s="47"/>
      <c r="AD8" s="47"/>
      <c r="AE8" s="47"/>
      <c r="AF8" s="47"/>
      <c r="AG8" s="47"/>
      <c r="AH8" s="47"/>
      <c r="AI8" s="47"/>
      <c r="AJ8" s="47"/>
      <c r="AK8" s="47" t="s">
        <v>199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14716635.000000015</v>
      </c>
      <c r="BA8" s="168"/>
      <c r="BB8" s="169">
        <f>BB9+BB14</f>
        <v>18132279.30762</v>
      </c>
      <c r="BG8" s="57"/>
      <c r="BH8" s="42"/>
      <c r="BI8" s="57"/>
      <c r="BJ8" s="223"/>
      <c r="BK8" s="223"/>
      <c r="BL8" s="232"/>
      <c r="BM8" s="231"/>
      <c r="BN8" s="57"/>
      <c r="BO8" s="60"/>
    </row>
    <row r="9" spans="1:67" ht="12.75">
      <c r="A9" s="47" t="s">
        <v>95</v>
      </c>
      <c r="B9" s="47"/>
      <c r="C9" s="47"/>
      <c r="D9" s="47"/>
      <c r="E9" s="47"/>
      <c r="F9" s="47" t="s">
        <v>94</v>
      </c>
      <c r="G9" s="47"/>
      <c r="H9" s="47"/>
      <c r="I9" s="47"/>
      <c r="J9" s="47" t="s">
        <v>93</v>
      </c>
      <c r="K9" s="47"/>
      <c r="L9" s="47"/>
      <c r="M9" s="47"/>
      <c r="N9" s="47"/>
      <c r="O9" s="47" t="s">
        <v>94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203</v>
      </c>
      <c r="AU9" s="146"/>
      <c r="AV9" s="146"/>
      <c r="AW9" s="146"/>
      <c r="AX9" s="51"/>
      <c r="AY9" s="52"/>
      <c r="AZ9" s="170">
        <f>AZ11+AZ12</f>
        <v>5706462</v>
      </c>
      <c r="BA9" s="171">
        <f>(BB12+BB11)/AZ9</f>
        <v>3.1767100732012237</v>
      </c>
      <c r="BB9" s="169">
        <f>BB10+BB11+BB12+BB13</f>
        <v>18127775.31774</v>
      </c>
      <c r="BG9" s="57"/>
      <c r="BH9" s="42"/>
      <c r="BI9" s="106"/>
      <c r="BJ9" s="223"/>
      <c r="BK9" s="223"/>
      <c r="BL9" s="232"/>
      <c r="BM9" s="231"/>
      <c r="BN9" s="57"/>
      <c r="BO9" s="60"/>
    </row>
    <row r="10" spans="1:67" ht="12.75">
      <c r="A10" s="48" t="s">
        <v>190</v>
      </c>
      <c r="B10" s="73" t="s">
        <v>96</v>
      </c>
      <c r="C10" s="48" t="s">
        <v>97</v>
      </c>
      <c r="D10" s="116" t="s">
        <v>172</v>
      </c>
      <c r="E10" s="117"/>
      <c r="F10" s="48" t="s">
        <v>98</v>
      </c>
      <c r="G10" s="48" t="s">
        <v>213</v>
      </c>
      <c r="H10" s="48" t="s">
        <v>99</v>
      </c>
      <c r="I10" s="48" t="s">
        <v>89</v>
      </c>
      <c r="J10" s="47" t="s">
        <v>95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292</v>
      </c>
      <c r="Z10" s="47"/>
      <c r="AA10" s="47"/>
      <c r="AB10" s="47"/>
      <c r="AC10" s="47"/>
      <c r="AD10" s="47"/>
      <c r="AE10" s="47"/>
      <c r="AF10" s="47"/>
      <c r="AG10" s="47"/>
      <c r="AH10" s="167" t="s">
        <v>292</v>
      </c>
      <c r="AI10" s="47"/>
      <c r="AJ10" s="47"/>
      <c r="AK10" s="47"/>
      <c r="AL10" s="47"/>
      <c r="AM10" s="47"/>
      <c r="AN10" s="47"/>
      <c r="AO10" s="47"/>
      <c r="AP10" s="47"/>
      <c r="AQ10" s="167" t="s">
        <v>292</v>
      </c>
      <c r="AR10" s="47"/>
      <c r="AS10" s="47"/>
      <c r="AT10" s="50" t="s">
        <v>78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G10" s="57"/>
      <c r="BH10" s="42"/>
      <c r="BI10" s="106"/>
      <c r="BJ10" s="223"/>
      <c r="BK10" s="223"/>
      <c r="BL10" s="232"/>
      <c r="BM10" s="231"/>
      <c r="BN10" s="57"/>
      <c r="BO10" s="60"/>
    </row>
    <row r="11" spans="1:67" ht="12.75">
      <c r="A11" s="74"/>
      <c r="B11" s="74"/>
      <c r="C11" s="74"/>
      <c r="D11" s="48" t="s">
        <v>100</v>
      </c>
      <c r="E11" s="50" t="s">
        <v>101</v>
      </c>
      <c r="F11" s="74" t="s">
        <v>102</v>
      </c>
      <c r="G11" s="74" t="s">
        <v>88</v>
      </c>
      <c r="H11" s="74"/>
      <c r="I11" s="74" t="s">
        <v>103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79</v>
      </c>
      <c r="AU11" s="51"/>
      <c r="AV11" s="51"/>
      <c r="AW11" s="51"/>
      <c r="AX11" s="51"/>
      <c r="AY11" s="52"/>
      <c r="AZ11" s="60">
        <f>I81+I73</f>
        <v>6792</v>
      </c>
      <c r="BA11" s="175">
        <v>4.90547</v>
      </c>
      <c r="BB11" s="174">
        <f>AZ11*BA11</f>
        <v>33317.95224</v>
      </c>
      <c r="BG11" s="57"/>
      <c r="BH11" s="42"/>
      <c r="BI11" s="57"/>
      <c r="BJ11" s="223"/>
      <c r="BK11" s="223"/>
      <c r="BL11" s="232"/>
      <c r="BM11" s="231"/>
      <c r="BN11" s="57"/>
      <c r="BO11" s="60"/>
    </row>
    <row r="12" spans="1:67" ht="12.75">
      <c r="A12" s="49"/>
      <c r="B12" s="49"/>
      <c r="C12" s="49"/>
      <c r="D12" s="49" t="s">
        <v>104</v>
      </c>
      <c r="E12" s="46" t="s">
        <v>104</v>
      </c>
      <c r="F12" s="49" t="s">
        <v>105</v>
      </c>
      <c r="G12" s="49"/>
      <c r="H12" s="49"/>
      <c r="I12" s="49"/>
      <c r="J12" s="48" t="s">
        <v>190</v>
      </c>
      <c r="K12" s="73" t="s">
        <v>96</v>
      </c>
      <c r="L12" s="48" t="s">
        <v>97</v>
      </c>
      <c r="M12" s="116" t="s">
        <v>229</v>
      </c>
      <c r="N12" s="117"/>
      <c r="O12" s="48" t="s">
        <v>98</v>
      </c>
      <c r="P12" s="48" t="s">
        <v>213</v>
      </c>
      <c r="Q12" s="48" t="s">
        <v>99</v>
      </c>
      <c r="R12" s="48" t="s">
        <v>89</v>
      </c>
      <c r="S12" s="48" t="s">
        <v>190</v>
      </c>
      <c r="T12" s="50" t="s">
        <v>191</v>
      </c>
      <c r="U12" s="51"/>
      <c r="V12" s="52"/>
      <c r="W12" s="45" t="s">
        <v>192</v>
      </c>
      <c r="X12" s="55"/>
      <c r="Y12" s="55"/>
      <c r="Z12" s="55"/>
      <c r="AA12" s="56"/>
      <c r="AB12" s="48" t="s">
        <v>190</v>
      </c>
      <c r="AC12" s="50" t="s">
        <v>191</v>
      </c>
      <c r="AD12" s="51"/>
      <c r="AE12" s="52"/>
      <c r="AF12" s="45" t="s">
        <v>192</v>
      </c>
      <c r="AG12" s="55"/>
      <c r="AH12" s="55"/>
      <c r="AI12" s="55"/>
      <c r="AJ12" s="56"/>
      <c r="AK12" s="48" t="s">
        <v>190</v>
      </c>
      <c r="AL12" s="50" t="s">
        <v>191</v>
      </c>
      <c r="AM12" s="51"/>
      <c r="AN12" s="52"/>
      <c r="AO12" s="45" t="s">
        <v>192</v>
      </c>
      <c r="AP12" s="55"/>
      <c r="AQ12" s="55"/>
      <c r="AR12" s="55"/>
      <c r="AS12" s="56"/>
      <c r="AT12" s="50" t="s">
        <v>80</v>
      </c>
      <c r="AU12" s="51"/>
      <c r="AV12" s="51"/>
      <c r="AW12" s="51"/>
      <c r="AX12" s="51"/>
      <c r="AY12" s="52"/>
      <c r="AZ12" s="170">
        <f>I75</f>
        <v>5699670</v>
      </c>
      <c r="BA12" s="176">
        <v>3.17465</v>
      </c>
      <c r="BB12" s="174">
        <f>AZ12*BA12</f>
        <v>18094457.3655</v>
      </c>
      <c r="BG12" s="57"/>
      <c r="BH12" s="42"/>
      <c r="BI12" s="57"/>
      <c r="BJ12" s="223"/>
      <c r="BK12" s="223"/>
      <c r="BL12" s="232"/>
      <c r="BM12" s="231"/>
      <c r="BN12" s="57"/>
      <c r="BO12" s="60"/>
    </row>
    <row r="13" spans="1:67" ht="14.25" customHeigh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100</v>
      </c>
      <c r="N13" s="50" t="s">
        <v>101</v>
      </c>
      <c r="O13" s="74" t="s">
        <v>102</v>
      </c>
      <c r="P13" s="74" t="s">
        <v>88</v>
      </c>
      <c r="Q13" s="74"/>
      <c r="R13" s="74" t="s">
        <v>103</v>
      </c>
      <c r="S13" s="49"/>
      <c r="T13" s="46"/>
      <c r="U13" s="53"/>
      <c r="V13" s="54"/>
      <c r="W13" s="57" t="s">
        <v>193</v>
      </c>
      <c r="X13" s="57" t="s">
        <v>194</v>
      </c>
      <c r="Y13" s="57" t="s">
        <v>195</v>
      </c>
      <c r="Z13" s="57" t="s">
        <v>196</v>
      </c>
      <c r="AA13" s="57" t="s">
        <v>197</v>
      </c>
      <c r="AB13" s="49"/>
      <c r="AC13" s="46"/>
      <c r="AD13" s="53"/>
      <c r="AE13" s="54"/>
      <c r="AF13" s="57" t="s">
        <v>193</v>
      </c>
      <c r="AG13" s="57" t="s">
        <v>194</v>
      </c>
      <c r="AH13" s="57" t="s">
        <v>195</v>
      </c>
      <c r="AI13" s="57" t="s">
        <v>196</v>
      </c>
      <c r="AJ13" s="57" t="s">
        <v>197</v>
      </c>
      <c r="AK13" s="49"/>
      <c r="AL13" s="46"/>
      <c r="AM13" s="53"/>
      <c r="AN13" s="54"/>
      <c r="AO13" s="57" t="s">
        <v>193</v>
      </c>
      <c r="AP13" s="57" t="s">
        <v>194</v>
      </c>
      <c r="AQ13" s="57" t="s">
        <v>195</v>
      </c>
      <c r="AR13" s="57" t="s">
        <v>196</v>
      </c>
      <c r="AS13" s="57" t="s">
        <v>197</v>
      </c>
      <c r="AT13" s="45" t="s">
        <v>73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G13" s="57"/>
      <c r="BH13" s="42"/>
      <c r="BI13" s="106"/>
      <c r="BJ13" s="223"/>
      <c r="BK13" s="223"/>
      <c r="BL13" s="232"/>
      <c r="BM13" s="231"/>
      <c r="BN13" s="57"/>
      <c r="BO13" s="60"/>
    </row>
    <row r="14" spans="1:67" ht="14.25" customHeight="1">
      <c r="A14" s="46"/>
      <c r="B14" s="53"/>
      <c r="C14" s="209" t="s">
        <v>106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104</v>
      </c>
      <c r="N14" s="46" t="s">
        <v>104</v>
      </c>
      <c r="O14" s="49" t="s">
        <v>105</v>
      </c>
      <c r="P14" s="49"/>
      <c r="Q14" s="49"/>
      <c r="R14" s="49"/>
      <c r="S14" s="57">
        <v>1</v>
      </c>
      <c r="T14" s="44" t="s">
        <v>64</v>
      </c>
      <c r="U14" s="44"/>
      <c r="V14" s="44"/>
      <c r="W14" s="60">
        <f aca="true" t="shared" si="0" ref="W14:W25">SUM(X14:AA14)</f>
        <v>8739965</v>
      </c>
      <c r="X14" s="60">
        <f>SUM(X15:X26)</f>
        <v>7399716</v>
      </c>
      <c r="Y14" s="60">
        <f>SUM(Y15:Y27)</f>
        <v>0</v>
      </c>
      <c r="Z14" s="60">
        <f>SUM(Z15:Z26)</f>
        <v>1340249</v>
      </c>
      <c r="AA14" s="57">
        <f>SUM(AA15:AA27)</f>
        <v>0</v>
      </c>
      <c r="AB14" s="57"/>
      <c r="AC14" s="44" t="s">
        <v>43</v>
      </c>
      <c r="AD14" s="44"/>
      <c r="AE14" s="44"/>
      <c r="AF14" s="67">
        <f>SUM(AG14:AJ14)</f>
        <v>207985</v>
      </c>
      <c r="AG14" s="60">
        <f>SUM(AG16:AG22)</f>
        <v>197779</v>
      </c>
      <c r="AH14" s="60">
        <f>SUM(AH16:AH22)</f>
        <v>0</v>
      </c>
      <c r="AI14" s="60">
        <f>SUM(AI16:AI22)</f>
        <v>10206</v>
      </c>
      <c r="AJ14" s="57">
        <f>SUM(AJ16:AJ22)</f>
        <v>0</v>
      </c>
      <c r="AK14" s="73">
        <v>1</v>
      </c>
      <c r="AL14" s="48" t="s">
        <v>43</v>
      </c>
      <c r="AM14" s="48"/>
      <c r="AN14" s="48"/>
      <c r="AO14" s="75">
        <f>SUM(AP14:AS14)</f>
        <v>62239</v>
      </c>
      <c r="AP14" s="75">
        <f>SUM(AP16:AP17)</f>
        <v>0</v>
      </c>
      <c r="AQ14" s="75">
        <f>SUM(AQ16:AQ17)</f>
        <v>0</v>
      </c>
      <c r="AR14" s="75">
        <f>ROUND(SUM(AR16:AR20),0)</f>
        <v>62239</v>
      </c>
      <c r="AS14" s="73">
        <f>SUM(AS16:AS17)</f>
        <v>0</v>
      </c>
      <c r="AT14" s="49" t="s">
        <v>219</v>
      </c>
      <c r="AU14" s="49"/>
      <c r="AV14" s="49"/>
      <c r="AW14" s="49"/>
      <c r="AX14" s="49"/>
      <c r="AY14" s="49"/>
      <c r="AZ14" s="170">
        <f>SUM(AZ15:AZ21)</f>
        <v>921</v>
      </c>
      <c r="BA14" s="177"/>
      <c r="BB14" s="174">
        <f>SUM(BB15:BB21)</f>
        <v>4503.98988</v>
      </c>
      <c r="BG14" s="57"/>
      <c r="BH14" s="42"/>
      <c r="BI14" s="57"/>
      <c r="BJ14" s="223"/>
      <c r="BK14" s="223"/>
      <c r="BL14" s="232"/>
      <c r="BM14" s="231"/>
      <c r="BN14" s="57"/>
      <c r="BO14" s="60"/>
    </row>
    <row r="15" spans="1:67" ht="12.75">
      <c r="A15" s="46"/>
      <c r="B15" s="45" t="s">
        <v>258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50</v>
      </c>
      <c r="T15" s="50" t="s">
        <v>28</v>
      </c>
      <c r="U15" s="51"/>
      <c r="V15" s="51"/>
      <c r="W15" s="67">
        <f t="shared" si="0"/>
        <v>4676921</v>
      </c>
      <c r="X15" s="88">
        <f>ROUND(I20,0)</f>
        <v>4676921</v>
      </c>
      <c r="Y15" s="73">
        <v>0</v>
      </c>
      <c r="Z15" s="73">
        <v>0</v>
      </c>
      <c r="AA15" s="73">
        <v>0</v>
      </c>
      <c r="AB15" s="73">
        <v>1</v>
      </c>
      <c r="AC15" s="50" t="s">
        <v>278</v>
      </c>
      <c r="AD15" s="51"/>
      <c r="AE15" s="52"/>
      <c r="AF15" s="66"/>
      <c r="AG15" s="69"/>
      <c r="AH15" s="69"/>
      <c r="AI15" s="69"/>
      <c r="AJ15" s="192"/>
      <c r="AK15" s="208"/>
      <c r="AL15" s="50" t="s">
        <v>280</v>
      </c>
      <c r="AM15" s="51"/>
      <c r="AN15" s="52"/>
      <c r="AO15" s="75"/>
      <c r="AP15" s="73"/>
      <c r="AQ15" s="73"/>
      <c r="AR15" s="75"/>
      <c r="AS15" s="73"/>
      <c r="AT15" s="52" t="s">
        <v>74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  <c r="BG15" s="57"/>
      <c r="BH15" s="42"/>
      <c r="BI15" s="57"/>
      <c r="BJ15" s="223"/>
      <c r="BK15" s="57"/>
      <c r="BL15" s="232"/>
      <c r="BM15" s="231"/>
      <c r="BN15" s="57"/>
      <c r="BO15" s="60"/>
    </row>
    <row r="16" spans="1:67" ht="12.75">
      <c r="A16" s="73">
        <v>1</v>
      </c>
      <c r="B16" s="48" t="s">
        <v>146</v>
      </c>
      <c r="C16" s="90">
        <v>804152757</v>
      </c>
      <c r="D16" s="121">
        <v>4966.4131</v>
      </c>
      <c r="E16" s="121">
        <v>5069.0767</v>
      </c>
      <c r="F16" s="60">
        <v>36000</v>
      </c>
      <c r="G16" s="142">
        <f>E16-D16</f>
        <v>102.66359999999986</v>
      </c>
      <c r="H16" s="44"/>
      <c r="I16" s="60">
        <f>ROUND((F16*G16+H16),0)</f>
        <v>3695890</v>
      </c>
      <c r="J16" s="46"/>
      <c r="K16" s="53"/>
      <c r="L16" s="53" t="s">
        <v>106</v>
      </c>
      <c r="M16" s="53"/>
      <c r="N16" s="53"/>
      <c r="O16" s="53"/>
      <c r="P16" s="53"/>
      <c r="Q16" s="53"/>
      <c r="R16" s="54"/>
      <c r="S16" s="61" t="s">
        <v>51</v>
      </c>
      <c r="T16" s="63" t="s">
        <v>29</v>
      </c>
      <c r="U16" s="64"/>
      <c r="V16" s="64"/>
      <c r="W16" s="67">
        <f t="shared" si="0"/>
        <v>0</v>
      </c>
      <c r="X16" s="81">
        <f>ROUND(I27,0)</f>
        <v>0</v>
      </c>
      <c r="Y16" s="70">
        <v>0</v>
      </c>
      <c r="Z16" s="67">
        <v>0</v>
      </c>
      <c r="AA16" s="70">
        <v>0</v>
      </c>
      <c r="AB16" s="61" t="s">
        <v>50</v>
      </c>
      <c r="AC16" s="63" t="s">
        <v>198</v>
      </c>
      <c r="AD16" s="64"/>
      <c r="AE16" s="65"/>
      <c r="AF16" s="67">
        <f>AG16+AH16+AI16+AJ16</f>
        <v>197779</v>
      </c>
      <c r="AG16" s="67">
        <v>197779</v>
      </c>
      <c r="AH16" s="70">
        <v>0</v>
      </c>
      <c r="AI16" s="67">
        <v>0</v>
      </c>
      <c r="AJ16" s="87">
        <v>0</v>
      </c>
      <c r="AK16" s="61" t="s">
        <v>50</v>
      </c>
      <c r="AL16" s="63" t="s">
        <v>16</v>
      </c>
      <c r="AM16" s="64"/>
      <c r="AN16" s="65"/>
      <c r="AO16" s="67">
        <f>AP16+AQ16+AR16+AS16</f>
        <v>242</v>
      </c>
      <c r="AP16" s="70">
        <v>0</v>
      </c>
      <c r="AQ16" s="70">
        <v>0</v>
      </c>
      <c r="AR16" s="67">
        <v>242</v>
      </c>
      <c r="AS16" s="70">
        <v>0</v>
      </c>
      <c r="AT16" s="52" t="s">
        <v>74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  <c r="BG16" s="44"/>
      <c r="BH16" s="44"/>
      <c r="BI16" s="106"/>
      <c r="BJ16" s="121"/>
      <c r="BK16" s="121"/>
      <c r="BL16" s="60"/>
      <c r="BM16" s="142"/>
      <c r="BN16" s="57"/>
      <c r="BO16" s="60"/>
    </row>
    <row r="17" spans="1:67" ht="12.75">
      <c r="A17" s="49"/>
      <c r="B17" s="46" t="s">
        <v>147</v>
      </c>
      <c r="C17" s="106">
        <v>109054169</v>
      </c>
      <c r="D17" s="121">
        <v>7595.7368</v>
      </c>
      <c r="E17" s="121">
        <v>7769.3908</v>
      </c>
      <c r="F17" s="60">
        <v>36000</v>
      </c>
      <c r="G17" s="142">
        <f>E17-D17</f>
        <v>173.65400000000045</v>
      </c>
      <c r="H17" s="44"/>
      <c r="I17" s="60">
        <f>F17*G17+H17</f>
        <v>6251544.000000016</v>
      </c>
      <c r="J17" s="44"/>
      <c r="K17" s="45" t="s">
        <v>107</v>
      </c>
      <c r="L17" s="55"/>
      <c r="M17" s="55"/>
      <c r="N17" s="55"/>
      <c r="O17" s="55"/>
      <c r="P17" s="55"/>
      <c r="Q17" s="55"/>
      <c r="R17" s="56"/>
      <c r="S17" s="61" t="s">
        <v>52</v>
      </c>
      <c r="T17" s="63" t="s">
        <v>30</v>
      </c>
      <c r="U17" s="64"/>
      <c r="V17" s="64"/>
      <c r="W17" s="67">
        <f t="shared" si="0"/>
        <v>558168</v>
      </c>
      <c r="X17" s="81">
        <f>ROUND(I29,0)</f>
        <v>558168</v>
      </c>
      <c r="Y17" s="70">
        <v>0</v>
      </c>
      <c r="Z17" s="67">
        <v>0</v>
      </c>
      <c r="AA17" s="70">
        <v>0</v>
      </c>
      <c r="AB17" s="61" t="s">
        <v>51</v>
      </c>
      <c r="AC17" s="63" t="s">
        <v>72</v>
      </c>
      <c r="AD17" s="64"/>
      <c r="AE17" s="65"/>
      <c r="AF17" s="67">
        <f>AG17+AH17+AI17+AJ17</f>
        <v>1780</v>
      </c>
      <c r="AG17" s="70">
        <v>0</v>
      </c>
      <c r="AH17" s="70">
        <v>0</v>
      </c>
      <c r="AI17" s="67">
        <v>1780</v>
      </c>
      <c r="AJ17" s="87">
        <v>0</v>
      </c>
      <c r="AK17" s="61" t="s">
        <v>51</v>
      </c>
      <c r="AL17" s="63" t="s">
        <v>166</v>
      </c>
      <c r="AM17" s="64"/>
      <c r="AN17" s="65"/>
      <c r="AO17" s="67">
        <f>AP17+AQ17+AR17+AS17</f>
        <v>304</v>
      </c>
      <c r="AP17" s="70">
        <v>0</v>
      </c>
      <c r="AQ17" s="70">
        <v>0</v>
      </c>
      <c r="AR17" s="67">
        <v>304</v>
      </c>
      <c r="AS17" s="70">
        <v>0</v>
      </c>
      <c r="AT17" s="51" t="s">
        <v>46</v>
      </c>
      <c r="AU17" s="51"/>
      <c r="AV17" s="51"/>
      <c r="AW17" s="51"/>
      <c r="AX17" s="51"/>
      <c r="AY17" s="52"/>
      <c r="AZ17" s="170">
        <f>R21</f>
        <v>360</v>
      </c>
      <c r="BA17" s="180">
        <v>3.41</v>
      </c>
      <c r="BB17" s="174">
        <f>AZ17*BA17</f>
        <v>1227.6000000000001</v>
      </c>
      <c r="BG17" s="44"/>
      <c r="BH17" s="44"/>
      <c r="BI17" s="57"/>
      <c r="BJ17" s="57"/>
      <c r="BK17" s="57"/>
      <c r="BL17" s="57"/>
      <c r="BM17" s="57"/>
      <c r="BN17" s="57"/>
      <c r="BO17" s="57"/>
    </row>
    <row r="18" spans="1:67" ht="15" customHeight="1">
      <c r="A18" s="45"/>
      <c r="B18" s="55"/>
      <c r="C18" s="53"/>
      <c r="D18" s="55"/>
      <c r="E18" s="55"/>
      <c r="F18" s="107" t="s">
        <v>109</v>
      </c>
      <c r="G18" s="55"/>
      <c r="H18" s="56"/>
      <c r="I18" s="60">
        <f>ROUND((I16+I17+I22),0)</f>
        <v>10032922</v>
      </c>
      <c r="J18" s="57">
        <v>1</v>
      </c>
      <c r="K18" s="45" t="s">
        <v>108</v>
      </c>
      <c r="L18" s="55"/>
      <c r="M18" s="55"/>
      <c r="N18" s="55"/>
      <c r="O18" s="55"/>
      <c r="P18" s="55"/>
      <c r="Q18" s="55"/>
      <c r="R18" s="56"/>
      <c r="S18" s="61" t="s">
        <v>53</v>
      </c>
      <c r="T18" s="63" t="s">
        <v>31</v>
      </c>
      <c r="U18" s="64"/>
      <c r="V18" s="64"/>
      <c r="W18" s="67">
        <f t="shared" si="0"/>
        <v>283060</v>
      </c>
      <c r="X18" s="81">
        <f>ROUND(I31,0)</f>
        <v>283060</v>
      </c>
      <c r="Y18" s="70">
        <v>0</v>
      </c>
      <c r="Z18" s="67">
        <v>0</v>
      </c>
      <c r="AA18" s="70">
        <v>0</v>
      </c>
      <c r="AB18" s="62" t="s">
        <v>52</v>
      </c>
      <c r="AC18" s="53" t="s">
        <v>61</v>
      </c>
      <c r="AD18" s="53"/>
      <c r="AE18" s="53"/>
      <c r="AF18" s="68">
        <f>AG18+AH18+AI18+AJ18</f>
        <v>8426</v>
      </c>
      <c r="AG18" s="71">
        <v>0</v>
      </c>
      <c r="AH18" s="71">
        <v>0</v>
      </c>
      <c r="AI18" s="68">
        <v>8426</v>
      </c>
      <c r="AJ18" s="207">
        <v>0</v>
      </c>
      <c r="AK18" s="61" t="s">
        <v>52</v>
      </c>
      <c r="AL18" s="63" t="s">
        <v>42</v>
      </c>
      <c r="AM18" s="64"/>
      <c r="AN18" s="65"/>
      <c r="AO18" s="67">
        <f>AP18+AQ18+AR18+AS18</f>
        <v>47561</v>
      </c>
      <c r="AP18" s="70">
        <v>0</v>
      </c>
      <c r="AQ18" s="70">
        <v>0</v>
      </c>
      <c r="AR18" s="67">
        <v>47561</v>
      </c>
      <c r="AS18" s="70">
        <v>0</v>
      </c>
      <c r="AT18" s="51" t="s">
        <v>47</v>
      </c>
      <c r="AU18" s="51"/>
      <c r="AV18" s="51"/>
      <c r="AW18" s="51"/>
      <c r="AX18" s="51"/>
      <c r="AY18" s="52"/>
      <c r="AZ18" s="170">
        <f>R22</f>
        <v>40</v>
      </c>
      <c r="BA18" s="180">
        <v>1.62</v>
      </c>
      <c r="BB18" s="174">
        <f>AZ18*BA18</f>
        <v>64.80000000000001</v>
      </c>
      <c r="BG18" s="44"/>
      <c r="BH18" s="44"/>
      <c r="BI18" s="106"/>
      <c r="BJ18" s="57"/>
      <c r="BK18" s="57"/>
      <c r="BL18" s="60"/>
      <c r="BM18" s="57"/>
      <c r="BN18" s="57"/>
      <c r="BO18" s="57"/>
    </row>
    <row r="19" spans="1:67" ht="15" customHeight="1">
      <c r="A19" s="44" t="s">
        <v>110</v>
      </c>
      <c r="B19" s="45" t="s">
        <v>230</v>
      </c>
      <c r="C19" s="55"/>
      <c r="D19" s="55"/>
      <c r="E19" s="55"/>
      <c r="F19" s="55"/>
      <c r="G19" s="55"/>
      <c r="H19" s="55"/>
      <c r="I19" s="56"/>
      <c r="J19" s="73" t="s">
        <v>110</v>
      </c>
      <c r="K19" s="48" t="s">
        <v>176</v>
      </c>
      <c r="L19" s="73">
        <v>16654</v>
      </c>
      <c r="M19" s="124">
        <v>5615</v>
      </c>
      <c r="N19" s="124">
        <v>6136</v>
      </c>
      <c r="O19" s="73">
        <v>1</v>
      </c>
      <c r="P19" s="148">
        <f>N19-M19</f>
        <v>521</v>
      </c>
      <c r="Q19" s="149"/>
      <c r="R19" s="75">
        <f>O19*P19+Q19</f>
        <v>521</v>
      </c>
      <c r="S19" s="61" t="s">
        <v>58</v>
      </c>
      <c r="T19" s="63" t="s">
        <v>32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53</v>
      </c>
      <c r="AL19" s="63" t="s">
        <v>63</v>
      </c>
      <c r="AM19" s="64"/>
      <c r="AN19" s="65"/>
      <c r="AO19" s="67">
        <f>AP19+AQ19+AR19+AS19</f>
        <v>999</v>
      </c>
      <c r="AP19" s="67">
        <v>0</v>
      </c>
      <c r="AQ19" s="70">
        <v>0</v>
      </c>
      <c r="AR19" s="67">
        <v>999</v>
      </c>
      <c r="AS19" s="70">
        <v>0</v>
      </c>
      <c r="AT19" s="51" t="s">
        <v>81</v>
      </c>
      <c r="AU19" s="51"/>
      <c r="AV19" s="51"/>
      <c r="AW19" s="51"/>
      <c r="AX19" s="51"/>
      <c r="AY19" s="52"/>
      <c r="AZ19" s="181">
        <f>R19+R20</f>
        <v>521</v>
      </c>
      <c r="BA19" s="175">
        <v>6.16428</v>
      </c>
      <c r="BB19" s="174">
        <f>AZ19*BA19</f>
        <v>3211.58988</v>
      </c>
      <c r="BG19" s="44"/>
      <c r="BH19" s="44"/>
      <c r="BI19" s="106"/>
      <c r="BJ19" s="121"/>
      <c r="BK19" s="121"/>
      <c r="BL19" s="60"/>
      <c r="BM19" s="142"/>
      <c r="BN19" s="60"/>
      <c r="BO19" s="60"/>
    </row>
    <row r="20" spans="1:67" ht="12.75">
      <c r="A20" s="44" t="s">
        <v>112</v>
      </c>
      <c r="B20" s="44" t="s">
        <v>113</v>
      </c>
      <c r="C20" s="106">
        <v>109053225</v>
      </c>
      <c r="D20" s="121">
        <v>19347.8979</v>
      </c>
      <c r="E20" s="121">
        <v>19570.6084</v>
      </c>
      <c r="F20" s="60">
        <v>21000</v>
      </c>
      <c r="G20" s="142">
        <f>E20-D20</f>
        <v>222.71050000000105</v>
      </c>
      <c r="H20" s="44"/>
      <c r="I20" s="60">
        <f>ROUND((F20*G20+H20),0)</f>
        <v>4676921</v>
      </c>
      <c r="J20" s="49"/>
      <c r="K20" s="49" t="s">
        <v>177</v>
      </c>
      <c r="L20" s="49"/>
      <c r="M20" s="49"/>
      <c r="N20" s="49"/>
      <c r="O20" s="49"/>
      <c r="P20" s="80"/>
      <c r="Q20" s="150"/>
      <c r="R20" s="166"/>
      <c r="S20" s="61" t="s">
        <v>62</v>
      </c>
      <c r="T20" s="63" t="s">
        <v>33</v>
      </c>
      <c r="U20" s="64"/>
      <c r="V20" s="64"/>
      <c r="W20" s="67">
        <f t="shared" si="0"/>
        <v>807353</v>
      </c>
      <c r="X20" s="81">
        <f>ROUND(I35,0)</f>
        <v>807353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58</v>
      </c>
      <c r="AL20" s="46" t="s">
        <v>279</v>
      </c>
      <c r="AM20" s="53"/>
      <c r="AN20" s="54"/>
      <c r="AO20" s="68">
        <f>AP20+AQ20+AR20+AS20</f>
        <v>13133</v>
      </c>
      <c r="AP20" s="68"/>
      <c r="AQ20" s="71"/>
      <c r="AR20" s="68">
        <v>13133</v>
      </c>
      <c r="AS20" s="71"/>
      <c r="AT20" s="51" t="s">
        <v>218</v>
      </c>
      <c r="AU20" s="51"/>
      <c r="AV20" s="51"/>
      <c r="AW20" s="51"/>
      <c r="AX20" s="51"/>
      <c r="AY20" s="52"/>
      <c r="AZ20" s="170"/>
      <c r="BA20" s="180"/>
      <c r="BB20" s="169"/>
      <c r="BG20" s="48"/>
      <c r="BH20" s="48"/>
      <c r="BI20" s="90"/>
      <c r="BJ20" s="214"/>
      <c r="BK20" s="214"/>
      <c r="BL20" s="75"/>
      <c r="BM20" s="215"/>
      <c r="BN20" s="73"/>
      <c r="BO20" s="75"/>
    </row>
    <row r="21" spans="1:67" ht="12.75">
      <c r="A21" s="44" t="s">
        <v>259</v>
      </c>
      <c r="B21" s="55" t="s">
        <v>262</v>
      </c>
      <c r="C21" s="53"/>
      <c r="D21" s="55"/>
      <c r="E21" s="55"/>
      <c r="F21" s="107"/>
      <c r="G21" s="55"/>
      <c r="H21" s="56"/>
      <c r="I21" s="60"/>
      <c r="J21" s="48" t="s">
        <v>116</v>
      </c>
      <c r="K21" s="48" t="s">
        <v>179</v>
      </c>
      <c r="L21" s="225">
        <v>122848480</v>
      </c>
      <c r="M21" s="224">
        <v>521</v>
      </c>
      <c r="N21" s="224">
        <v>539</v>
      </c>
      <c r="O21" s="57">
        <v>20</v>
      </c>
      <c r="P21" s="223">
        <f>N21-M21</f>
        <v>18</v>
      </c>
      <c r="Q21" s="151"/>
      <c r="R21" s="60">
        <f>O21*P21+Q21</f>
        <v>360</v>
      </c>
      <c r="S21" s="61" t="s">
        <v>65</v>
      </c>
      <c r="T21" s="63" t="s">
        <v>34</v>
      </c>
      <c r="U21" s="64"/>
      <c r="V21" s="64"/>
      <c r="W21" s="67">
        <f t="shared" si="0"/>
        <v>228891</v>
      </c>
      <c r="X21" s="81">
        <f>ROUND(I37,0)</f>
        <v>228891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  <c r="BG21" s="49"/>
      <c r="BH21" s="49"/>
      <c r="BI21" s="71"/>
      <c r="BJ21" s="119"/>
      <c r="BK21" s="119"/>
      <c r="BL21" s="68"/>
      <c r="BM21" s="118"/>
      <c r="BN21" s="71"/>
      <c r="BO21" s="68"/>
    </row>
    <row r="22" spans="1:54" ht="12.75">
      <c r="A22" s="44" t="s">
        <v>260</v>
      </c>
      <c r="B22" s="45" t="s">
        <v>263</v>
      </c>
      <c r="C22" s="55"/>
      <c r="D22" s="55"/>
      <c r="E22" s="55"/>
      <c r="F22" s="55"/>
      <c r="G22" s="55"/>
      <c r="H22" s="56"/>
      <c r="I22" s="170">
        <v>85488</v>
      </c>
      <c r="J22" s="49"/>
      <c r="K22" s="49" t="s">
        <v>178</v>
      </c>
      <c r="L22" s="225">
        <v>122848480</v>
      </c>
      <c r="M22" s="224">
        <v>146</v>
      </c>
      <c r="N22" s="224">
        <v>148</v>
      </c>
      <c r="O22" s="57">
        <v>20</v>
      </c>
      <c r="P22" s="223">
        <f>N22-M22</f>
        <v>2</v>
      </c>
      <c r="Q22" s="151"/>
      <c r="R22" s="60">
        <f>O22*P22+Q22</f>
        <v>40</v>
      </c>
      <c r="S22" s="61" t="s">
        <v>66</v>
      </c>
      <c r="T22" s="63" t="s">
        <v>35</v>
      </c>
      <c r="U22" s="64"/>
      <c r="V22" s="64"/>
      <c r="W22" s="67">
        <f t="shared" si="0"/>
        <v>845323</v>
      </c>
      <c r="X22" s="81">
        <f>ROUND(I39,0)</f>
        <v>845323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164</v>
      </c>
      <c r="Q23" s="137"/>
      <c r="R23" s="60">
        <f>R19+R21+R22+R20</f>
        <v>921</v>
      </c>
      <c r="S23" s="61" t="s">
        <v>67</v>
      </c>
      <c r="T23" s="63" t="s">
        <v>36</v>
      </c>
      <c r="U23" s="64"/>
      <c r="V23" s="64"/>
      <c r="W23" s="67">
        <f t="shared" si="0"/>
        <v>1047706</v>
      </c>
      <c r="X23" s="81">
        <v>0</v>
      </c>
      <c r="Y23" s="70">
        <v>0</v>
      </c>
      <c r="Z23" s="67">
        <f>I26+I25</f>
        <v>1047706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3.5" customHeight="1">
      <c r="A24" s="44" t="s">
        <v>116</v>
      </c>
      <c r="B24" s="46" t="s">
        <v>117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68</v>
      </c>
      <c r="T24" s="64" t="s">
        <v>37</v>
      </c>
      <c r="U24" s="64"/>
      <c r="V24" s="64"/>
      <c r="W24" s="67">
        <f t="shared" si="0"/>
        <v>38354</v>
      </c>
      <c r="X24" s="81">
        <v>0</v>
      </c>
      <c r="Y24" s="70">
        <v>0</v>
      </c>
      <c r="Z24" s="67">
        <f>I41</f>
        <v>38354</v>
      </c>
      <c r="AA24" s="70">
        <v>0</v>
      </c>
      <c r="AB24" s="58"/>
      <c r="AC24" s="47" t="s">
        <v>87</v>
      </c>
      <c r="AD24" s="47"/>
      <c r="AE24" s="47"/>
      <c r="AF24" s="59"/>
      <c r="AG24" s="59"/>
      <c r="AH24" s="59"/>
      <c r="AI24" s="59"/>
      <c r="AJ24" s="59"/>
      <c r="AK24" s="58"/>
      <c r="AL24" s="47" t="s">
        <v>167</v>
      </c>
      <c r="AM24" s="47"/>
      <c r="AN24" s="47"/>
      <c r="AO24" s="59"/>
      <c r="AP24" s="59"/>
      <c r="AQ24" s="59"/>
      <c r="AR24" s="59"/>
      <c r="AS24" s="59"/>
      <c r="AT24" s="152" t="s">
        <v>45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>
      <c r="A25" s="48" t="s">
        <v>118</v>
      </c>
      <c r="B25" s="48" t="s">
        <v>121</v>
      </c>
      <c r="C25" s="90"/>
      <c r="D25" s="212"/>
      <c r="E25" s="212"/>
      <c r="F25" s="68"/>
      <c r="G25" s="213"/>
      <c r="H25" s="68"/>
      <c r="I25" s="68"/>
      <c r="J25" s="63" t="s">
        <v>165</v>
      </c>
      <c r="K25" s="64"/>
      <c r="L25" s="64"/>
      <c r="M25" s="64"/>
      <c r="N25" s="64"/>
      <c r="O25" s="64"/>
      <c r="P25" s="85"/>
      <c r="Q25" s="128"/>
      <c r="R25" s="141"/>
      <c r="S25" s="61" t="s">
        <v>69</v>
      </c>
      <c r="T25" s="64" t="s">
        <v>38</v>
      </c>
      <c r="U25" s="64"/>
      <c r="V25" s="64"/>
      <c r="W25" s="67">
        <f t="shared" si="0"/>
        <v>216283</v>
      </c>
      <c r="X25" s="81">
        <v>0</v>
      </c>
      <c r="Y25" s="70">
        <v>0</v>
      </c>
      <c r="Z25" s="67">
        <f>I43</f>
        <v>216283</v>
      </c>
      <c r="AA25" s="70">
        <v>0</v>
      </c>
      <c r="AB25" s="58"/>
      <c r="AC25" s="47" t="s">
        <v>270</v>
      </c>
      <c r="AD25" s="47"/>
      <c r="AE25" s="47"/>
      <c r="AF25" s="47"/>
      <c r="AG25" s="47"/>
      <c r="AH25" s="47"/>
      <c r="AI25" s="47"/>
      <c r="AJ25" s="47"/>
      <c r="AK25" s="58"/>
      <c r="AL25" s="47" t="s">
        <v>270</v>
      </c>
      <c r="AM25" s="47"/>
      <c r="AN25" s="47"/>
      <c r="AO25" s="47"/>
      <c r="AP25" s="47"/>
      <c r="AQ25" s="47"/>
      <c r="AR25" s="47"/>
      <c r="AS25" s="47"/>
      <c r="AT25" s="46" t="s">
        <v>82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>
      <c r="A26" s="49"/>
      <c r="B26" s="49" t="s">
        <v>119</v>
      </c>
      <c r="C26" s="91">
        <v>109056121</v>
      </c>
      <c r="D26" s="212">
        <v>21689.6482</v>
      </c>
      <c r="E26" s="212">
        <v>21907.9202</v>
      </c>
      <c r="F26" s="68">
        <v>4800</v>
      </c>
      <c r="G26" s="213">
        <f aca="true" t="shared" si="1" ref="G26:G43">E26-D26</f>
        <v>218.27200000000084</v>
      </c>
      <c r="H26" s="68"/>
      <c r="I26" s="68">
        <f>ROUND(F26*G26+H26,0)</f>
        <v>1047706</v>
      </c>
      <c r="J26" s="114" t="s">
        <v>290</v>
      </c>
      <c r="K26" s="115"/>
      <c r="L26" s="115"/>
      <c r="M26" s="86"/>
      <c r="N26" s="53"/>
      <c r="O26" s="53"/>
      <c r="P26" s="53"/>
      <c r="Q26" s="53"/>
      <c r="R26" s="102"/>
      <c r="S26" s="62" t="s">
        <v>70</v>
      </c>
      <c r="T26" s="53" t="s">
        <v>39</v>
      </c>
      <c r="U26" s="53"/>
      <c r="V26" s="53"/>
      <c r="W26" s="68">
        <f>SUM(X26:AA26)</f>
        <v>37906</v>
      </c>
      <c r="X26" s="82">
        <v>0</v>
      </c>
      <c r="Y26" s="71">
        <v>0</v>
      </c>
      <c r="Z26" s="68">
        <f>I45+I46</f>
        <v>37906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83</v>
      </c>
      <c r="AU26" s="55"/>
      <c r="AV26" s="55"/>
      <c r="AW26" s="55"/>
      <c r="AX26" s="64"/>
      <c r="AY26" s="65"/>
      <c r="AZ26" s="185">
        <f>(X14+AG14+AP14)/1000</f>
        <v>7597.495</v>
      </c>
      <c r="BA26" s="169">
        <v>16</v>
      </c>
      <c r="BB26" s="174">
        <f>AZ26*BA26</f>
        <v>121559.92</v>
      </c>
    </row>
    <row r="27" spans="1:54" ht="12.75">
      <c r="A27" s="48" t="s">
        <v>120</v>
      </c>
      <c r="B27" s="48" t="s">
        <v>132</v>
      </c>
      <c r="C27" s="90">
        <v>623125232</v>
      </c>
      <c r="D27" s="214">
        <v>9240.7087</v>
      </c>
      <c r="E27" s="214">
        <v>9240.7087</v>
      </c>
      <c r="F27" s="75">
        <v>1800</v>
      </c>
      <c r="G27" s="215">
        <f t="shared" si="1"/>
        <v>0</v>
      </c>
      <c r="H27" s="73"/>
      <c r="I27" s="75">
        <f>ROUND(G27*F27,0)</f>
        <v>0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84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>
      <c r="A28" s="49"/>
      <c r="B28" s="49" t="s">
        <v>119</v>
      </c>
      <c r="C28" s="71"/>
      <c r="D28" s="119"/>
      <c r="E28" s="119"/>
      <c r="F28" s="68"/>
      <c r="G28" s="118"/>
      <c r="H28" s="71"/>
      <c r="I28" s="68"/>
      <c r="J28" s="64" t="s">
        <v>168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224</v>
      </c>
      <c r="AC28" s="47"/>
      <c r="AD28" s="47"/>
      <c r="AE28" s="47"/>
      <c r="AF28" s="47"/>
      <c r="AG28" s="47" t="s">
        <v>225</v>
      </c>
      <c r="AH28" s="47"/>
      <c r="AI28" s="47" t="s">
        <v>226</v>
      </c>
      <c r="AJ28" s="47"/>
      <c r="AK28" s="47" t="s">
        <v>224</v>
      </c>
      <c r="AL28" s="47"/>
      <c r="AM28" s="47"/>
      <c r="AN28" s="47"/>
      <c r="AO28" s="47"/>
      <c r="AP28" s="47" t="s">
        <v>56</v>
      </c>
      <c r="AQ28" s="47"/>
      <c r="AR28" s="47" t="s">
        <v>57</v>
      </c>
      <c r="AS28" s="47"/>
      <c r="AT28" s="63" t="s">
        <v>85</v>
      </c>
      <c r="AU28" s="64"/>
      <c r="AV28" s="64"/>
      <c r="AW28" s="64"/>
      <c r="AX28" s="51"/>
      <c r="AY28" s="52"/>
      <c r="AZ28" s="185">
        <f>(Z14+AI14+AR14)/1000</f>
        <v>1412.694</v>
      </c>
      <c r="BA28" s="169">
        <v>16</v>
      </c>
      <c r="BB28" s="174">
        <f>AZ28*BA28</f>
        <v>22603.104</v>
      </c>
    </row>
    <row r="29" spans="1:54" ht="12.75">
      <c r="A29" s="48" t="s">
        <v>122</v>
      </c>
      <c r="B29" s="48" t="s">
        <v>133</v>
      </c>
      <c r="C29" s="90">
        <v>623125667</v>
      </c>
      <c r="D29" s="214">
        <v>11271.1471</v>
      </c>
      <c r="E29" s="214">
        <v>11581.2405</v>
      </c>
      <c r="F29" s="75">
        <v>1800</v>
      </c>
      <c r="G29" s="215">
        <f t="shared" si="1"/>
        <v>310.09339999999975</v>
      </c>
      <c r="H29" s="73"/>
      <c r="I29" s="75">
        <f>ROUND(G29*F29,0)</f>
        <v>558168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291</v>
      </c>
      <c r="AC29" s="47"/>
      <c r="AD29" s="47"/>
      <c r="AE29" s="47"/>
      <c r="AF29" s="47"/>
      <c r="AG29" s="47" t="s">
        <v>55</v>
      </c>
      <c r="AH29" s="47"/>
      <c r="AI29" s="47"/>
      <c r="AJ29" s="47"/>
      <c r="AK29" s="47" t="s">
        <v>291</v>
      </c>
      <c r="AL29" s="47"/>
      <c r="AM29" s="47"/>
      <c r="AN29" s="47"/>
      <c r="AO29" s="47"/>
      <c r="AP29" s="47" t="s">
        <v>55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>
      <c r="A30" s="49"/>
      <c r="B30" s="49" t="s">
        <v>119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>
      <c r="A31" s="48" t="s">
        <v>123</v>
      </c>
      <c r="B31" s="48" t="s">
        <v>134</v>
      </c>
      <c r="C31" s="90">
        <v>623126370</v>
      </c>
      <c r="D31" s="214">
        <v>3006.8687</v>
      </c>
      <c r="E31" s="214">
        <v>3065.8395</v>
      </c>
      <c r="F31" s="75">
        <v>4800</v>
      </c>
      <c r="G31" s="215">
        <f t="shared" si="1"/>
        <v>58.970800000000054</v>
      </c>
      <c r="H31" s="73"/>
      <c r="I31" s="75">
        <f>ROUND(G31*F31,0)</f>
        <v>283060</v>
      </c>
      <c r="J31" s="64"/>
      <c r="K31" s="64"/>
      <c r="L31" s="154"/>
      <c r="M31" s="78"/>
      <c r="N31" s="155" t="s">
        <v>169</v>
      </c>
      <c r="O31" s="155"/>
      <c r="P31" s="83"/>
      <c r="Q31" s="64"/>
      <c r="R31" s="85"/>
      <c r="S31" s="47" t="s">
        <v>224</v>
      </c>
      <c r="T31" s="47"/>
      <c r="U31" s="47"/>
      <c r="V31" s="47"/>
      <c r="W31" s="47"/>
      <c r="X31" s="47" t="s">
        <v>225</v>
      </c>
      <c r="Y31" s="47"/>
      <c r="Z31" s="47" t="s">
        <v>226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>
      <c r="A32" s="49"/>
      <c r="B32" s="49" t="s">
        <v>119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266</v>
      </c>
      <c r="O32" s="155"/>
      <c r="P32" s="83"/>
      <c r="Q32" s="64"/>
      <c r="R32" s="85"/>
      <c r="S32" s="47" t="s">
        <v>291</v>
      </c>
      <c r="T32" s="47"/>
      <c r="U32" s="47"/>
      <c r="V32" s="47"/>
      <c r="W32" s="47"/>
      <c r="X32" s="47" t="s">
        <v>55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222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>
      <c r="A33" s="48" t="s">
        <v>124</v>
      </c>
      <c r="B33" s="48" t="s">
        <v>135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291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54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220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>
      <c r="A34" s="49"/>
      <c r="B34" s="49" t="s">
        <v>119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54</v>
      </c>
      <c r="AL34" s="47"/>
      <c r="AM34" s="47"/>
      <c r="AN34" s="47"/>
      <c r="AO34" s="47"/>
      <c r="AP34" s="47"/>
      <c r="AQ34" s="47"/>
      <c r="AR34" s="47"/>
      <c r="AS34" s="47"/>
      <c r="AT34" s="50" t="s">
        <v>223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>
      <c r="A35" s="48" t="s">
        <v>125</v>
      </c>
      <c r="B35" s="48" t="s">
        <v>136</v>
      </c>
      <c r="C35" s="90">
        <v>623125142</v>
      </c>
      <c r="D35" s="214">
        <v>14801.043</v>
      </c>
      <c r="E35" s="214">
        <v>15137.44</v>
      </c>
      <c r="F35" s="75">
        <v>2400</v>
      </c>
      <c r="G35" s="215">
        <f t="shared" si="1"/>
        <v>336.39700000000084</v>
      </c>
      <c r="H35" s="73"/>
      <c r="I35" s="75">
        <f>ROUND(G35*F35,0)</f>
        <v>807353</v>
      </c>
      <c r="J35" s="64"/>
      <c r="K35" s="64"/>
      <c r="L35" s="154"/>
      <c r="M35" s="78"/>
      <c r="N35" s="156" t="s">
        <v>171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71</v>
      </c>
      <c r="AC35" s="47"/>
      <c r="AD35" s="47"/>
      <c r="AE35" s="47"/>
      <c r="AF35" s="47"/>
      <c r="AG35" s="47" t="s">
        <v>41</v>
      </c>
      <c r="AH35" s="47"/>
      <c r="AI35" s="47" t="s">
        <v>40</v>
      </c>
      <c r="AJ35" s="47"/>
      <c r="AK35" s="47" t="s">
        <v>227</v>
      </c>
      <c r="AL35" s="47"/>
      <c r="AM35" s="47"/>
      <c r="AN35" s="47"/>
      <c r="AO35" s="47"/>
      <c r="AP35" s="47"/>
      <c r="AQ35" s="47" t="s">
        <v>228</v>
      </c>
      <c r="AR35" s="47"/>
      <c r="AS35" s="47"/>
      <c r="AT35" s="50" t="s">
        <v>220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>
      <c r="A36" s="49"/>
      <c r="B36" s="49" t="s">
        <v>119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170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86</v>
      </c>
      <c r="AC36" s="47"/>
      <c r="AD36" s="47"/>
      <c r="AE36" s="47"/>
      <c r="AF36" s="47"/>
      <c r="AG36" s="47" t="s">
        <v>55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55</v>
      </c>
      <c r="AR36" s="47"/>
      <c r="AS36" s="47"/>
      <c r="AT36" s="50" t="s">
        <v>220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>
      <c r="A37" s="48" t="s">
        <v>126</v>
      </c>
      <c r="B37" s="48" t="s">
        <v>137</v>
      </c>
      <c r="C37" s="90">
        <v>623125205</v>
      </c>
      <c r="D37" s="214">
        <v>5398.5313</v>
      </c>
      <c r="E37" s="214">
        <v>5525.6932</v>
      </c>
      <c r="F37" s="75">
        <v>1800</v>
      </c>
      <c r="G37" s="215">
        <f t="shared" si="1"/>
        <v>127.16190000000006</v>
      </c>
      <c r="H37" s="73"/>
      <c r="I37" s="75">
        <f>ROUND(G37*F37,0)</f>
        <v>228891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286</v>
      </c>
      <c r="T37" s="47"/>
      <c r="U37" s="47"/>
      <c r="V37" s="47"/>
      <c r="W37" s="47"/>
      <c r="X37" s="47" t="s">
        <v>225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185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>
      <c r="A38" s="49"/>
      <c r="B38" s="49" t="s">
        <v>119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55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220</v>
      </c>
      <c r="AU38" s="51"/>
      <c r="AV38" s="51" t="s">
        <v>25</v>
      </c>
      <c r="AW38" s="51"/>
      <c r="AX38" s="51"/>
      <c r="AY38" s="52"/>
      <c r="AZ38" s="170"/>
      <c r="BA38" s="182"/>
      <c r="BB38" s="169"/>
    </row>
    <row r="39" spans="1:54" ht="12.75">
      <c r="A39" s="48" t="s">
        <v>127</v>
      </c>
      <c r="B39" s="48" t="s">
        <v>138</v>
      </c>
      <c r="C39" s="90">
        <v>623123704</v>
      </c>
      <c r="D39" s="214">
        <v>9071.5185</v>
      </c>
      <c r="E39" s="214">
        <v>9541.1426</v>
      </c>
      <c r="F39" s="75">
        <v>1800</v>
      </c>
      <c r="G39" s="215">
        <f t="shared" si="1"/>
        <v>469.6240999999991</v>
      </c>
      <c r="H39" s="73"/>
      <c r="I39" s="75">
        <f>ROUND(G39*F39,0)</f>
        <v>845323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221</v>
      </c>
      <c r="AU39" s="51"/>
      <c r="AV39" s="51" t="s">
        <v>218</v>
      </c>
      <c r="AW39" s="51"/>
      <c r="AX39" s="51"/>
      <c r="AY39" s="52"/>
      <c r="AZ39" s="170"/>
      <c r="BA39" s="182"/>
      <c r="BB39" s="169"/>
    </row>
    <row r="40" spans="1:54" ht="12.75">
      <c r="A40" s="49"/>
      <c r="B40" s="49" t="s">
        <v>119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>
      <c r="A41" s="48" t="s">
        <v>128</v>
      </c>
      <c r="B41" s="48" t="s">
        <v>139</v>
      </c>
      <c r="C41" s="90">
        <v>623125794</v>
      </c>
      <c r="D41" s="214">
        <v>191.8954</v>
      </c>
      <c r="E41" s="214">
        <v>213.2032</v>
      </c>
      <c r="F41" s="75">
        <v>1800</v>
      </c>
      <c r="G41" s="215">
        <f t="shared" si="1"/>
        <v>21.307800000000015</v>
      </c>
      <c r="H41" s="73"/>
      <c r="I41" s="75">
        <f>ROUND(G41*F41,0)</f>
        <v>38354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>
      <c r="A42" s="49"/>
      <c r="B42" s="49" t="s">
        <v>119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>
      <c r="A43" s="48" t="s">
        <v>129</v>
      </c>
      <c r="B43" s="48" t="s">
        <v>140</v>
      </c>
      <c r="C43" s="90">
        <v>623125736</v>
      </c>
      <c r="D43" s="214">
        <v>4760.248</v>
      </c>
      <c r="E43" s="214">
        <v>4940.4842</v>
      </c>
      <c r="F43" s="75">
        <v>1200</v>
      </c>
      <c r="G43" s="215">
        <f t="shared" si="1"/>
        <v>180.23620000000028</v>
      </c>
      <c r="H43" s="73"/>
      <c r="I43" s="75">
        <f>ROUND(G43*F43,0)</f>
        <v>216283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185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>
      <c r="A44" s="49"/>
      <c r="B44" s="49" t="s">
        <v>119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>
      <c r="A45" s="48" t="s">
        <v>130</v>
      </c>
      <c r="B45" s="50" t="s">
        <v>131</v>
      </c>
      <c r="C45" s="90">
        <v>1110171156</v>
      </c>
      <c r="D45" s="214">
        <v>14900.4568</v>
      </c>
      <c r="E45" s="214">
        <v>15848.114</v>
      </c>
      <c r="F45" s="75">
        <v>40</v>
      </c>
      <c r="G45" s="215">
        <f>E45-D45</f>
        <v>947.6571999999996</v>
      </c>
      <c r="H45" s="73"/>
      <c r="I45" s="75">
        <f>ROUND(G45*F45,0)</f>
        <v>37906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>
      <c r="A46" s="49"/>
      <c r="B46" s="46" t="s">
        <v>119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189</v>
      </c>
      <c r="AW46" s="51"/>
      <c r="AX46" s="51"/>
      <c r="AY46" s="52"/>
      <c r="AZ46" s="170"/>
      <c r="BA46" s="187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141</v>
      </c>
      <c r="H47" s="56"/>
      <c r="I47" s="125">
        <f>ROUND((SUM(I25:I46)+I20),0)</f>
        <v>8739965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>
      <c r="A48" s="48" t="s">
        <v>144</v>
      </c>
      <c r="B48" s="50" t="s">
        <v>142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>
      <c r="A49" s="74"/>
      <c r="B49" s="63" t="s">
        <v>143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189</v>
      </c>
      <c r="AW49" s="51"/>
      <c r="AX49" s="51"/>
      <c r="AY49" s="52"/>
      <c r="AZ49" s="170"/>
      <c r="BA49" s="182"/>
      <c r="BB49" s="169"/>
    </row>
    <row r="50" spans="1:54" ht="12.75">
      <c r="A50" s="50" t="s">
        <v>145</v>
      </c>
      <c r="B50" s="48" t="s">
        <v>235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271</v>
      </c>
      <c r="AW50" s="55"/>
      <c r="AX50" s="55"/>
      <c r="AY50" s="56"/>
      <c r="AZ50" s="170"/>
      <c r="BA50" s="182"/>
      <c r="BB50" s="169"/>
    </row>
    <row r="51" spans="1:54" ht="12.75">
      <c r="A51" s="63"/>
      <c r="B51" s="74"/>
      <c r="C51" s="194">
        <v>611127627</v>
      </c>
      <c r="D51" s="191">
        <v>6348.1124</v>
      </c>
      <c r="E51" s="191">
        <v>6392.6036</v>
      </c>
      <c r="F51" s="60">
        <v>40</v>
      </c>
      <c r="G51" s="142">
        <f>E51-D51</f>
        <v>44.49120000000039</v>
      </c>
      <c r="H51" s="60"/>
      <c r="I51" s="60">
        <f>ROUND(F51*G51+H51,0)</f>
        <v>1780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231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148</v>
      </c>
      <c r="B53" s="65"/>
      <c r="C53" s="106">
        <v>810120245</v>
      </c>
      <c r="D53" s="191">
        <v>3778.8321</v>
      </c>
      <c r="E53" s="191">
        <v>3787.8249</v>
      </c>
      <c r="F53" s="60">
        <v>3600</v>
      </c>
      <c r="G53" s="142">
        <f>E53-D53</f>
        <v>8.992799999999988</v>
      </c>
      <c r="H53" s="60"/>
      <c r="I53" s="60">
        <f>ROUND(F53*G53+H53,0)</f>
        <v>32374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294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245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4431.1404</v>
      </c>
      <c r="E55" s="121">
        <v>4477.0814</v>
      </c>
      <c r="F55" s="60">
        <v>3600</v>
      </c>
      <c r="G55" s="143">
        <f>E55-D55</f>
        <v>45.9409999999998</v>
      </c>
      <c r="H55" s="44"/>
      <c r="I55" s="60">
        <f>ROUND(F55*G55+H55,0)</f>
        <v>165388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149</v>
      </c>
      <c r="B57" s="48" t="s">
        <v>115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6"/>
      <c r="B58" s="74" t="s">
        <v>114</v>
      </c>
      <c r="C58" s="194">
        <v>611127492</v>
      </c>
      <c r="D58" s="191">
        <v>21580.008</v>
      </c>
      <c r="E58" s="191">
        <v>22001.1852</v>
      </c>
      <c r="F58" s="60">
        <v>20</v>
      </c>
      <c r="G58" s="142">
        <f>E58-D58</f>
        <v>421.17719999999827</v>
      </c>
      <c r="H58" s="60"/>
      <c r="I58" s="60">
        <f>ROUND(F58*G58+H58,0)</f>
        <v>8424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49</v>
      </c>
      <c r="AW58" s="47"/>
      <c r="AX58" s="47"/>
      <c r="AY58" s="47"/>
      <c r="AZ58" s="47"/>
      <c r="BA58" s="47"/>
      <c r="BB58" s="162">
        <f>BA9</f>
        <v>3.1767100732012237</v>
      </c>
    </row>
    <row r="59" spans="1:54" ht="12.75">
      <c r="A59" s="50" t="s">
        <v>150</v>
      </c>
      <c r="B59" s="48" t="s">
        <v>236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7"/>
      <c r="B60" s="70" t="s">
        <v>281</v>
      </c>
      <c r="C60" s="194">
        <v>611127702</v>
      </c>
      <c r="D60" s="191">
        <v>32644.9676</v>
      </c>
      <c r="E60" s="191">
        <v>32773.7248</v>
      </c>
      <c r="F60" s="60">
        <v>60</v>
      </c>
      <c r="G60" s="142">
        <f>E60-D60</f>
        <v>128.75720000000365</v>
      </c>
      <c r="H60" s="44"/>
      <c r="I60" s="60">
        <f>ROUND(F60*G60+H60,0)</f>
        <v>7725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282</v>
      </c>
      <c r="C61" s="194">
        <v>611127555</v>
      </c>
      <c r="D61" s="191">
        <v>12127.8056</v>
      </c>
      <c r="E61" s="191">
        <v>12791.754</v>
      </c>
      <c r="F61" s="60">
        <v>60</v>
      </c>
      <c r="G61" s="142">
        <f>E61-D61</f>
        <v>663.9484000000011</v>
      </c>
      <c r="H61" s="44"/>
      <c r="I61" s="60">
        <f>ROUND(F61*G61+H61,0)</f>
        <v>39837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151</v>
      </c>
      <c r="B62" s="48" t="s">
        <v>237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 customHeight="1">
      <c r="A63" s="197"/>
      <c r="B63" s="74"/>
      <c r="C63" s="194">
        <v>1110171163</v>
      </c>
      <c r="D63" s="191">
        <v>1306.4132</v>
      </c>
      <c r="E63" s="191">
        <v>1311.4876</v>
      </c>
      <c r="F63" s="60">
        <v>60</v>
      </c>
      <c r="G63" s="142">
        <f>E63-D63</f>
        <v>5.074399999999969</v>
      </c>
      <c r="H63" s="44"/>
      <c r="I63" s="60">
        <f>ROUND(F63*G63+H63,0)</f>
        <v>304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152</v>
      </c>
      <c r="B65" s="48" t="s">
        <v>238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4">
        <v>1110171170</v>
      </c>
      <c r="D66" s="191">
        <v>197.9768</v>
      </c>
      <c r="E66" s="191">
        <v>204.032</v>
      </c>
      <c r="F66" s="60">
        <v>40</v>
      </c>
      <c r="G66" s="142">
        <f>E66-D66</f>
        <v>6.0552000000000135</v>
      </c>
      <c r="H66" s="60"/>
      <c r="I66" s="60">
        <f>ROUND(F66*G66+H66,0)</f>
        <v>242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153</v>
      </c>
      <c r="B68" s="48" t="s">
        <v>283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284</v>
      </c>
      <c r="C69" s="194">
        <v>611126404</v>
      </c>
      <c r="D69" s="191">
        <v>606.0406</v>
      </c>
      <c r="E69" s="191">
        <v>613.8931</v>
      </c>
      <c r="F69" s="60">
        <v>1800</v>
      </c>
      <c r="G69" s="142">
        <f>E69-D69</f>
        <v>7.852499999999964</v>
      </c>
      <c r="H69" s="60"/>
      <c r="I69" s="60">
        <f>ROUND((F69*G69+H69),0)</f>
        <v>14134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247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233</v>
      </c>
      <c r="B71" s="74" t="s">
        <v>239</v>
      </c>
      <c r="C71" s="194">
        <v>611127724</v>
      </c>
      <c r="D71" s="191">
        <v>1990.9516</v>
      </c>
      <c r="E71" s="191">
        <v>2024.2372</v>
      </c>
      <c r="F71" s="60">
        <v>30</v>
      </c>
      <c r="G71" s="142">
        <f>E71-D71</f>
        <v>33.28559999999993</v>
      </c>
      <c r="H71" s="60"/>
      <c r="I71" s="60">
        <f>ROUND(F71*G71+H71,0)</f>
        <v>999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277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154</v>
      </c>
      <c r="G74" s="55"/>
      <c r="H74" s="56"/>
      <c r="I74" s="125">
        <f>ROUND((SUM(I50:I69)-I73),0)</f>
        <v>270208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155</v>
      </c>
      <c r="H75" s="56"/>
      <c r="I75" s="125">
        <f>ROUND((I18+I20-I47-I74),0)</f>
        <v>5699670</v>
      </c>
      <c r="J75" s="64"/>
      <c r="K75" s="64">
        <f>I18+I20+I22-I47-I74</f>
        <v>5785158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162</v>
      </c>
      <c r="B76" s="45" t="s">
        <v>156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160</v>
      </c>
      <c r="B77" s="48" t="s">
        <v>157</v>
      </c>
      <c r="C77" s="73">
        <v>18705639</v>
      </c>
      <c r="D77" s="124">
        <v>19294</v>
      </c>
      <c r="E77" s="124">
        <v>19477</v>
      </c>
      <c r="F77" s="75">
        <v>30</v>
      </c>
      <c r="G77" s="211">
        <f>E77-D77</f>
        <v>183</v>
      </c>
      <c r="H77" s="48">
        <v>1302</v>
      </c>
      <c r="I77" s="75">
        <f>F77*G77+H77</f>
        <v>6792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158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161</v>
      </c>
      <c r="B79" s="48" t="s">
        <v>159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158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163</v>
      </c>
      <c r="G81" s="111"/>
      <c r="H81" s="56"/>
      <c r="I81" s="60">
        <f>I77+I79</f>
        <v>6792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164</v>
      </c>
      <c r="H82" s="56"/>
      <c r="I82" s="125">
        <f>I75+I81</f>
        <v>5706462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165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290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168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2" t="s">
        <v>169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2" t="s">
        <v>268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2" t="s">
        <v>291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90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267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91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272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234</v>
      </c>
      <c r="AZ91" s="89" t="s">
        <v>295</v>
      </c>
      <c r="BA91" s="47"/>
      <c r="BB91" s="47"/>
    </row>
    <row r="92" spans="1:54" ht="12.75">
      <c r="A92" s="47"/>
      <c r="B92" s="47"/>
      <c r="C92" s="47" t="s">
        <v>92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26</v>
      </c>
      <c r="AU92" s="55"/>
      <c r="AV92" s="55"/>
      <c r="AW92" s="55"/>
      <c r="AX92" s="55"/>
      <c r="AY92" s="56"/>
      <c r="AZ92" s="44" t="s">
        <v>75</v>
      </c>
      <c r="BA92" s="44"/>
      <c r="BB92" s="44" t="s">
        <v>27</v>
      </c>
    </row>
    <row r="93" spans="1:54" ht="12.75">
      <c r="A93" s="47"/>
      <c r="B93" s="47"/>
      <c r="C93" s="47"/>
      <c r="D93" s="167" t="s">
        <v>289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182</v>
      </c>
      <c r="AU93" s="55"/>
      <c r="AV93" s="55"/>
      <c r="AW93" s="55"/>
      <c r="AX93" s="55"/>
      <c r="AY93" s="56"/>
      <c r="AZ93" s="125">
        <v>68915</v>
      </c>
      <c r="BA93" s="92"/>
      <c r="BB93" s="188">
        <f>AZ93*BB58</f>
        <v>218922.97469466232</v>
      </c>
    </row>
    <row r="94" spans="1:54" ht="12.75">
      <c r="A94" s="47" t="s">
        <v>265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181</v>
      </c>
      <c r="AU94" s="55"/>
      <c r="AV94" s="55"/>
      <c r="AW94" s="55"/>
      <c r="AX94" s="55"/>
      <c r="AY94" s="56"/>
      <c r="AZ94" s="125">
        <f>AZ131-SUM(AZ112:AZ120)-AZ109-AZ103-AZ96-AZ95-AZ93</f>
        <v>4139366</v>
      </c>
      <c r="BA94" s="92"/>
      <c r="BB94" s="188">
        <f>AZ94*BB58</f>
        <v>13149565.668866657</v>
      </c>
    </row>
    <row r="95" spans="1:54" ht="12.75">
      <c r="A95" s="47" t="s">
        <v>93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274</v>
      </c>
      <c r="AU95" s="55"/>
      <c r="AV95" s="55"/>
      <c r="AW95" s="55"/>
      <c r="AX95" s="55"/>
      <c r="AY95" s="56"/>
      <c r="AZ95" s="125">
        <v>69896</v>
      </c>
      <c r="BA95" s="92"/>
      <c r="BB95" s="188">
        <f>AZ95*BB58</f>
        <v>222039.32727647273</v>
      </c>
    </row>
    <row r="96" spans="1:54" ht="12.75">
      <c r="A96" s="47" t="s">
        <v>95</v>
      </c>
      <c r="B96" s="47"/>
      <c r="C96" s="47"/>
      <c r="D96" s="47"/>
      <c r="E96" s="47"/>
      <c r="F96" s="47" t="s">
        <v>94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17</v>
      </c>
      <c r="AU96" s="51"/>
      <c r="AV96" s="51"/>
      <c r="AW96" s="51"/>
      <c r="AX96" s="51"/>
      <c r="AY96" s="52"/>
      <c r="AZ96" s="189">
        <f>SUM(AZ97:AZ102)</f>
        <v>1051628</v>
      </c>
      <c r="BA96" s="95"/>
      <c r="BB96" s="188">
        <f>AZ96*BB58</f>
        <v>3340717.2608604566</v>
      </c>
    </row>
    <row r="97" spans="1:54" ht="12.75">
      <c r="A97" s="48" t="s">
        <v>190</v>
      </c>
      <c r="B97" s="73" t="s">
        <v>96</v>
      </c>
      <c r="C97" s="48" t="s">
        <v>97</v>
      </c>
      <c r="D97" s="116" t="s">
        <v>172</v>
      </c>
      <c r="E97" s="117"/>
      <c r="F97" s="48" t="s">
        <v>98</v>
      </c>
      <c r="G97" s="48" t="s">
        <v>213</v>
      </c>
      <c r="H97" s="48" t="s">
        <v>99</v>
      </c>
      <c r="I97" s="48" t="s">
        <v>89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18</v>
      </c>
      <c r="AU97" s="64"/>
      <c r="AV97" s="64"/>
      <c r="AW97" s="64"/>
      <c r="AX97" s="64"/>
      <c r="AY97" s="65"/>
      <c r="AZ97" s="67">
        <v>352079</v>
      </c>
      <c r="BA97" s="78"/>
      <c r="BB97" s="188">
        <f>AZ97*BB58</f>
        <v>1118452.9058626136</v>
      </c>
    </row>
    <row r="98" spans="1:54" ht="12.75">
      <c r="A98" s="74"/>
      <c r="B98" s="74"/>
      <c r="C98" s="74"/>
      <c r="D98" s="48" t="s">
        <v>100</v>
      </c>
      <c r="E98" s="50" t="s">
        <v>101</v>
      </c>
      <c r="F98" s="74" t="s">
        <v>102</v>
      </c>
      <c r="G98" s="74" t="s">
        <v>88</v>
      </c>
      <c r="H98" s="74"/>
      <c r="I98" s="74" t="s">
        <v>103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19</v>
      </c>
      <c r="AU98" s="64"/>
      <c r="AV98" s="64"/>
      <c r="AW98" s="64"/>
      <c r="AX98" s="64"/>
      <c r="AY98" s="65"/>
      <c r="AZ98" s="67">
        <v>566086</v>
      </c>
      <c r="BA98" s="78"/>
      <c r="BB98" s="188">
        <f>AZ98*BB58</f>
        <v>1798291.098498188</v>
      </c>
    </row>
    <row r="99" spans="1:54" ht="12.75">
      <c r="A99" s="49"/>
      <c r="B99" s="49"/>
      <c r="C99" s="49"/>
      <c r="D99" s="49" t="s">
        <v>104</v>
      </c>
      <c r="E99" s="46" t="s">
        <v>104</v>
      </c>
      <c r="F99" s="49" t="s">
        <v>105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20</v>
      </c>
      <c r="AU99" s="64"/>
      <c r="AV99" s="64"/>
      <c r="AW99" s="64"/>
      <c r="AX99" s="64"/>
      <c r="AY99" s="65"/>
      <c r="AZ99" s="67">
        <v>129189</v>
      </c>
      <c r="BA99" s="78"/>
      <c r="BB99" s="188">
        <f>AZ99*BB58</f>
        <v>410395.9976467929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21</v>
      </c>
      <c r="AU100" s="64"/>
      <c r="AV100" s="64"/>
      <c r="AW100" s="64"/>
      <c r="AX100" s="64"/>
      <c r="AY100" s="65"/>
      <c r="AZ100" s="67">
        <v>350</v>
      </c>
      <c r="BA100" s="78"/>
      <c r="BB100" s="188">
        <f>AZ100*BB58</f>
        <v>1111.8485256204283</v>
      </c>
    </row>
    <row r="101" spans="1:54" ht="12.75">
      <c r="A101" s="46"/>
      <c r="B101" s="53"/>
      <c r="C101" s="209" t="s">
        <v>173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22</v>
      </c>
      <c r="AU101" s="64"/>
      <c r="AV101" s="64"/>
      <c r="AW101" s="64"/>
      <c r="AX101" s="64"/>
      <c r="AY101" s="65"/>
      <c r="AZ101" s="67">
        <v>2924</v>
      </c>
      <c r="BA101" s="78"/>
      <c r="BB101" s="188">
        <f>AZ101*BB58</f>
        <v>9288.700254040377</v>
      </c>
    </row>
    <row r="102" spans="1:54" ht="12.75">
      <c r="A102" s="44"/>
      <c r="B102" s="45" t="s">
        <v>264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3176.7100732012236</v>
      </c>
    </row>
    <row r="103" spans="1:54" ht="12.75">
      <c r="A103" s="73">
        <v>1</v>
      </c>
      <c r="B103" s="48" t="s">
        <v>146</v>
      </c>
      <c r="C103" s="90">
        <v>804152757</v>
      </c>
      <c r="D103" s="121">
        <v>2511.8236</v>
      </c>
      <c r="E103" s="121">
        <v>2560.7495</v>
      </c>
      <c r="F103" s="60">
        <v>36000</v>
      </c>
      <c r="G103" s="142">
        <f>E103-D103</f>
        <v>48.92589999999973</v>
      </c>
      <c r="H103" s="44"/>
      <c r="I103" s="60">
        <f>F103*G103+H103</f>
        <v>1761332.3999999901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183</v>
      </c>
      <c r="AU103" s="51"/>
      <c r="AV103" s="51"/>
      <c r="AW103" s="51"/>
      <c r="AX103" s="51"/>
      <c r="AY103" s="52"/>
      <c r="AZ103" s="189">
        <f>SUM(AZ104:AZ108)</f>
        <v>14240</v>
      </c>
      <c r="BA103" s="95"/>
      <c r="BB103" s="188">
        <f>AZ103*BB58</f>
        <v>45236.35144238543</v>
      </c>
    </row>
    <row r="104" spans="1:54" ht="12.75">
      <c r="A104" s="49"/>
      <c r="B104" s="46" t="s">
        <v>147</v>
      </c>
      <c r="C104" s="106">
        <v>109054169</v>
      </c>
      <c r="D104" s="121">
        <v>3090.4663</v>
      </c>
      <c r="E104" s="121">
        <v>3143.3106</v>
      </c>
      <c r="F104" s="60">
        <v>36000</v>
      </c>
      <c r="G104" s="142">
        <f>E104-D104</f>
        <v>52.84429999999975</v>
      </c>
      <c r="H104" s="44"/>
      <c r="I104" s="60">
        <f>F104*G104+H104</f>
        <v>1902394.799999991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208</v>
      </c>
      <c r="AV104" s="64"/>
      <c r="AW104" s="64"/>
      <c r="AX104" s="64"/>
      <c r="AY104" s="65"/>
      <c r="AZ104" s="67">
        <v>2240</v>
      </c>
      <c r="BA104" s="78"/>
      <c r="BB104" s="188">
        <f>AZ104*BB58</f>
        <v>7115.830563970741</v>
      </c>
    </row>
    <row r="105" spans="1:54" ht="12.75">
      <c r="A105" s="45"/>
      <c r="B105" s="55"/>
      <c r="C105" s="53"/>
      <c r="D105" s="55"/>
      <c r="E105" s="55"/>
      <c r="F105" s="107" t="s">
        <v>109</v>
      </c>
      <c r="G105" s="55"/>
      <c r="H105" s="56"/>
      <c r="I105" s="60">
        <f>I103+I104</f>
        <v>3663727.199999981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204</v>
      </c>
      <c r="AU105" s="64"/>
      <c r="AV105" s="64" t="s">
        <v>184</v>
      </c>
      <c r="AW105" s="64"/>
      <c r="AX105" s="64"/>
      <c r="AY105" s="65"/>
      <c r="AZ105" s="67">
        <v>4720</v>
      </c>
      <c r="BA105" s="78"/>
      <c r="BB105" s="188">
        <f>AZ105*BB58</f>
        <v>14994.071545509776</v>
      </c>
    </row>
    <row r="106" spans="1:54" ht="12.75">
      <c r="A106" s="44" t="s">
        <v>110</v>
      </c>
      <c r="B106" s="45" t="s">
        <v>111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204</v>
      </c>
      <c r="AU106" s="64"/>
      <c r="AV106" s="64" t="s">
        <v>209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>
      <c r="A107" s="44" t="s">
        <v>112</v>
      </c>
      <c r="B107" s="44" t="s">
        <v>113</v>
      </c>
      <c r="C107" s="106">
        <v>109053225</v>
      </c>
      <c r="D107" s="121">
        <v>7743.7182</v>
      </c>
      <c r="E107" s="121">
        <v>7815.5673</v>
      </c>
      <c r="F107" s="60">
        <v>21000</v>
      </c>
      <c r="G107" s="142">
        <f>E107-D107</f>
        <v>71.84909999999945</v>
      </c>
      <c r="H107" s="44"/>
      <c r="I107" s="60">
        <f>F107*G107+H107</f>
        <v>1508831.0999999885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210</v>
      </c>
      <c r="AW107" s="64"/>
      <c r="AX107" s="64"/>
      <c r="AY107" s="64"/>
      <c r="AZ107" s="67">
        <v>140</v>
      </c>
      <c r="BA107" s="70"/>
      <c r="BB107" s="188">
        <f>AZ107*BB58</f>
        <v>444.73941024817134</v>
      </c>
    </row>
    <row r="108" spans="1:54" ht="12.75">
      <c r="A108" s="44" t="s">
        <v>259</v>
      </c>
      <c r="B108" s="55" t="s">
        <v>262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60</v>
      </c>
      <c r="AU108" s="53"/>
      <c r="AV108" s="101"/>
      <c r="AW108" s="101"/>
      <c r="AX108" s="53"/>
      <c r="AY108" s="54"/>
      <c r="AZ108" s="68">
        <v>7140</v>
      </c>
      <c r="BA108" s="86"/>
      <c r="BB108" s="188">
        <f>AZ108*BB58</f>
        <v>22681.709922656737</v>
      </c>
    </row>
    <row r="109" spans="1:54" ht="12.75">
      <c r="A109" s="44" t="s">
        <v>260</v>
      </c>
      <c r="B109" s="45" t="s">
        <v>263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273</v>
      </c>
      <c r="AU109" s="51"/>
      <c r="AV109" s="51"/>
      <c r="AW109" s="51"/>
      <c r="AX109" s="51"/>
      <c r="AY109" s="52"/>
      <c r="AZ109" s="189">
        <f>AZ110+AZ111</f>
        <v>201403</v>
      </c>
      <c r="BA109" s="95"/>
      <c r="BB109" s="188">
        <f>AZ109*BB58</f>
        <v>639798.9388729461</v>
      </c>
    </row>
    <row r="110" spans="1:54" ht="12.75">
      <c r="A110" s="45" t="s">
        <v>261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23</v>
      </c>
      <c r="AU110" s="64"/>
      <c r="AV110" s="64"/>
      <c r="AW110" s="64"/>
      <c r="AX110" s="64"/>
      <c r="AY110" s="65"/>
      <c r="AZ110" s="67">
        <v>16964</v>
      </c>
      <c r="BA110" s="78"/>
      <c r="BB110" s="188">
        <f>AZ110*BB58</f>
        <v>53889.709681785556</v>
      </c>
    </row>
    <row r="111" spans="1:54" ht="12.75">
      <c r="A111" s="44" t="s">
        <v>116</v>
      </c>
      <c r="B111" s="45" t="s">
        <v>117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24</v>
      </c>
      <c r="AU111" s="53"/>
      <c r="AV111" s="53"/>
      <c r="AW111" s="53"/>
      <c r="AX111" s="53"/>
      <c r="AY111" s="54"/>
      <c r="AZ111" s="68">
        <v>184439</v>
      </c>
      <c r="BA111" s="86"/>
      <c r="BB111" s="188">
        <f>AZ111*BB58</f>
        <v>585909.2291911605</v>
      </c>
    </row>
    <row r="112" spans="1:54" ht="12.75">
      <c r="A112" s="48" t="s">
        <v>118</v>
      </c>
      <c r="B112" s="48" t="s">
        <v>121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211</v>
      </c>
      <c r="AU112" s="55"/>
      <c r="AV112" s="55"/>
      <c r="AW112" s="55"/>
      <c r="AX112" s="55"/>
      <c r="AY112" s="56"/>
      <c r="AZ112" s="125">
        <v>16520</v>
      </c>
      <c r="BA112" s="92"/>
      <c r="BB112" s="188">
        <f>AZ112*BB58</f>
        <v>52479.250409284214</v>
      </c>
    </row>
    <row r="113" spans="1:54" ht="12.75">
      <c r="A113" s="49"/>
      <c r="B113" s="49" t="s">
        <v>119</v>
      </c>
      <c r="C113" s="91">
        <v>109056121</v>
      </c>
      <c r="D113" s="212">
        <v>6612.8944</v>
      </c>
      <c r="E113" s="212">
        <v>6646.483</v>
      </c>
      <c r="F113" s="68">
        <v>4800</v>
      </c>
      <c r="G113" s="213">
        <f aca="true" t="shared" si="2" ref="G113:G132">E113-D113</f>
        <v>33.58860000000004</v>
      </c>
      <c r="H113" s="68"/>
      <c r="I113" s="68">
        <f>F113*G113+H113</f>
        <v>161225.2800000002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59</v>
      </c>
      <c r="AU113" s="55"/>
      <c r="AV113" s="55"/>
      <c r="AW113" s="55"/>
      <c r="AX113" s="55"/>
      <c r="AY113" s="56"/>
      <c r="AZ113" s="125">
        <v>21408</v>
      </c>
      <c r="BA113" s="92"/>
      <c r="BB113" s="188">
        <f>AZ113*BB58</f>
        <v>68007.0092470918</v>
      </c>
    </row>
    <row r="114" spans="1:54" ht="12.75">
      <c r="A114" s="48" t="s">
        <v>120</v>
      </c>
      <c r="B114" s="48" t="s">
        <v>132</v>
      </c>
      <c r="C114" s="90">
        <v>623125232</v>
      </c>
      <c r="D114" s="214">
        <v>3004.4408</v>
      </c>
      <c r="E114" s="214">
        <v>3004.4408</v>
      </c>
      <c r="F114" s="75">
        <v>1800</v>
      </c>
      <c r="G114" s="215">
        <f t="shared" si="2"/>
        <v>0</v>
      </c>
      <c r="H114" s="73"/>
      <c r="I114" s="75">
        <f>G114*F114</f>
        <v>0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200</v>
      </c>
      <c r="AU114" s="55"/>
      <c r="AV114" s="55"/>
      <c r="AW114" s="55"/>
      <c r="AX114" s="55"/>
      <c r="AY114" s="56"/>
      <c r="AZ114" s="125">
        <v>12724</v>
      </c>
      <c r="BA114" s="92"/>
      <c r="BB114" s="188">
        <f>AZ114*BB58</f>
        <v>40420.45897141237</v>
      </c>
    </row>
    <row r="115" spans="1:54" ht="12.75">
      <c r="A115" s="49"/>
      <c r="B115" s="49" t="s">
        <v>119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180</v>
      </c>
      <c r="AU115" s="55"/>
      <c r="AV115" s="55"/>
      <c r="AW115" s="55"/>
      <c r="AX115" s="55"/>
      <c r="AY115" s="56"/>
      <c r="AZ115" s="125">
        <v>3172</v>
      </c>
      <c r="BA115" s="92"/>
      <c r="BB115" s="188">
        <f>AZ115*BB58</f>
        <v>10076.524352194281</v>
      </c>
    </row>
    <row r="116" spans="1:54" ht="12.75">
      <c r="A116" s="48" t="s">
        <v>122</v>
      </c>
      <c r="B116" s="48" t="s">
        <v>133</v>
      </c>
      <c r="C116" s="90">
        <v>623125667</v>
      </c>
      <c r="D116" s="214">
        <v>3941.0549</v>
      </c>
      <c r="E116" s="214">
        <v>4026.3237</v>
      </c>
      <c r="F116" s="75">
        <v>1800</v>
      </c>
      <c r="G116" s="215">
        <f t="shared" si="2"/>
        <v>85.26879999999983</v>
      </c>
      <c r="H116" s="73"/>
      <c r="I116" s="75">
        <f>G116*F116</f>
        <v>153483.83999999968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40000</v>
      </c>
      <c r="BA116" s="92"/>
      <c r="BB116" s="188">
        <f>AZ116*BB58</f>
        <v>127068.40292804895</v>
      </c>
    </row>
    <row r="117" spans="1:54" ht="12.75">
      <c r="A117" s="49"/>
      <c r="B117" s="49" t="s">
        <v>119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12500</v>
      </c>
      <c r="BA117" s="92"/>
      <c r="BB117" s="188">
        <f>AZ117*BB58</f>
        <v>39708.8759150153</v>
      </c>
    </row>
    <row r="118" spans="1:54" ht="12.75">
      <c r="A118" s="48" t="s">
        <v>123</v>
      </c>
      <c r="B118" s="48" t="s">
        <v>134</v>
      </c>
      <c r="C118" s="90">
        <v>623126370</v>
      </c>
      <c r="D118" s="214">
        <v>781.4214</v>
      </c>
      <c r="E118" s="214">
        <v>796.8884</v>
      </c>
      <c r="F118" s="75">
        <v>4800</v>
      </c>
      <c r="G118" s="215">
        <f t="shared" si="2"/>
        <v>15.467000000000098</v>
      </c>
      <c r="H118" s="73"/>
      <c r="I118" s="75">
        <f>G118*F118</f>
        <v>74241.60000000047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207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158.8355036600612</v>
      </c>
    </row>
    <row r="119" spans="1:54" ht="12.75">
      <c r="A119" s="49"/>
      <c r="B119" s="49" t="s">
        <v>119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202</v>
      </c>
      <c r="AU119" s="107"/>
      <c r="AV119" s="55"/>
      <c r="AW119" s="55"/>
      <c r="AX119" s="55"/>
      <c r="AY119" s="56"/>
      <c r="AZ119" s="125">
        <v>54640</v>
      </c>
      <c r="BA119" s="92"/>
      <c r="BB119" s="188">
        <f>AZ119*BB58</f>
        <v>173575.43839971485</v>
      </c>
    </row>
    <row r="120" spans="1:54" ht="12.75">
      <c r="A120" s="48" t="s">
        <v>124</v>
      </c>
      <c r="B120" s="48" t="s">
        <v>135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>
      <c r="A121" s="49"/>
      <c r="B121" s="49" t="s">
        <v>119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>
      <c r="A122" s="48" t="s">
        <v>125</v>
      </c>
      <c r="B122" s="48" t="s">
        <v>136</v>
      </c>
      <c r="C122" s="90">
        <v>623125142</v>
      </c>
      <c r="D122" s="214">
        <v>2618.9311</v>
      </c>
      <c r="E122" s="214">
        <v>2657.5554</v>
      </c>
      <c r="F122" s="75">
        <v>2400</v>
      </c>
      <c r="G122" s="215">
        <f t="shared" si="2"/>
        <v>38.6243000000004</v>
      </c>
      <c r="H122" s="73"/>
      <c r="I122" s="75">
        <f>G122*F122</f>
        <v>92698.32000000097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>
      <c r="A123" s="49"/>
      <c r="B123" s="49" t="s">
        <v>119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>
      <c r="A124" s="48" t="s">
        <v>126</v>
      </c>
      <c r="B124" s="48" t="s">
        <v>137</v>
      </c>
      <c r="C124" s="90">
        <v>623125205</v>
      </c>
      <c r="D124" s="214">
        <v>2112.8001</v>
      </c>
      <c r="E124" s="214">
        <v>2156.6227</v>
      </c>
      <c r="F124" s="75">
        <v>1800</v>
      </c>
      <c r="G124" s="215">
        <f t="shared" si="2"/>
        <v>43.822599999999966</v>
      </c>
      <c r="H124" s="73"/>
      <c r="I124" s="75">
        <f>G124*F124</f>
        <v>78880.67999999993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>
      <c r="A125" s="49"/>
      <c r="B125" s="49" t="s">
        <v>119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>
      <c r="A126" s="48" t="s">
        <v>127</v>
      </c>
      <c r="B126" s="48" t="s">
        <v>138</v>
      </c>
      <c r="C126" s="90">
        <v>623123704</v>
      </c>
      <c r="D126" s="214">
        <v>2571.7313</v>
      </c>
      <c r="E126" s="214">
        <v>2636.3724</v>
      </c>
      <c r="F126" s="75">
        <v>1800</v>
      </c>
      <c r="G126" s="215">
        <f t="shared" si="2"/>
        <v>64.64110000000028</v>
      </c>
      <c r="H126" s="73"/>
      <c r="I126" s="75">
        <f>G126*F126</f>
        <v>116353.9800000005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>
      <c r="A127" s="49"/>
      <c r="B127" s="49" t="s">
        <v>119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128</v>
      </c>
      <c r="B128" s="48" t="s">
        <v>139</v>
      </c>
      <c r="C128" s="90">
        <v>623125794</v>
      </c>
      <c r="D128" s="214">
        <v>146.9266</v>
      </c>
      <c r="E128" s="214">
        <v>160.2816</v>
      </c>
      <c r="F128" s="75">
        <v>1800</v>
      </c>
      <c r="G128" s="215">
        <f>E128-D128</f>
        <v>13.35499999999999</v>
      </c>
      <c r="H128" s="73"/>
      <c r="I128" s="75">
        <f>G128*F128</f>
        <v>24038.99999999998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119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129</v>
      </c>
      <c r="B130" s="48" t="s">
        <v>140</v>
      </c>
      <c r="C130" s="90">
        <v>623125736</v>
      </c>
      <c r="D130" s="214">
        <v>3111.4499</v>
      </c>
      <c r="E130" s="214">
        <v>3151.9903</v>
      </c>
      <c r="F130" s="75">
        <v>1200</v>
      </c>
      <c r="G130" s="215">
        <f t="shared" si="2"/>
        <v>40.54039999999986</v>
      </c>
      <c r="H130" s="73"/>
      <c r="I130" s="75">
        <f>G130*F130</f>
        <v>48648.479999999836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119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5706462</v>
      </c>
      <c r="BA131" s="47"/>
      <c r="BB131" s="165">
        <f>SUM(BB93:BB96)+BB103+BB109+SUM(BB112:BB126)</f>
        <v>18127775.31774</v>
      </c>
    </row>
    <row r="132" spans="1:54" ht="12.75">
      <c r="A132" s="48" t="s">
        <v>130</v>
      </c>
      <c r="B132" s="50" t="s">
        <v>131</v>
      </c>
      <c r="C132" s="90">
        <v>1110171156</v>
      </c>
      <c r="D132" s="214">
        <v>1632.7856</v>
      </c>
      <c r="E132" s="214">
        <v>1683.4952</v>
      </c>
      <c r="F132" s="75">
        <v>40</v>
      </c>
      <c r="G132" s="215">
        <f t="shared" si="2"/>
        <v>50.70960000000014</v>
      </c>
      <c r="H132" s="73"/>
      <c r="I132" s="75">
        <f>G132*F132</f>
        <v>2028.3840000000055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119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141</v>
      </c>
      <c r="H134" s="56"/>
      <c r="I134" s="125">
        <f>SUM(I112:I133)+I107</f>
        <v>2260430.66399999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296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144</v>
      </c>
      <c r="B135" s="50" t="s">
        <v>142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143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48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145</v>
      </c>
      <c r="B137" s="48" t="s">
        <v>240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4">
        <v>611127627</v>
      </c>
      <c r="D138" s="191">
        <v>2564.0564</v>
      </c>
      <c r="E138" s="191">
        <v>2564.9724</v>
      </c>
      <c r="F138" s="60">
        <v>40</v>
      </c>
      <c r="G138" s="142">
        <f>E138-D138</f>
        <v>0.9160000000001673</v>
      </c>
      <c r="H138" s="60"/>
      <c r="I138" s="60">
        <f>ROUND(F138*G138+H138,0)</f>
        <v>37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231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287</v>
      </c>
      <c r="AX139" s="47"/>
      <c r="AY139" s="47"/>
      <c r="AZ139" s="47"/>
      <c r="BA139" s="47"/>
      <c r="BB139" s="47"/>
    </row>
    <row r="140" spans="1:54" ht="12.75">
      <c r="A140" s="48" t="s">
        <v>148</v>
      </c>
      <c r="B140" s="65"/>
      <c r="C140" s="106">
        <v>810120245</v>
      </c>
      <c r="D140" s="191">
        <v>1341.9551</v>
      </c>
      <c r="E140" s="191">
        <v>1342.4411</v>
      </c>
      <c r="F140" s="60">
        <v>3600</v>
      </c>
      <c r="G140" s="142">
        <f aca="true" t="shared" si="3" ref="G140:G145">E140-D140</f>
        <v>0.4860000000001037</v>
      </c>
      <c r="H140" s="60"/>
      <c r="I140" s="60">
        <f aca="true" t="shared" si="4" ref="I140:I145">ROUND(F140*G140+H140,0)</f>
        <v>1750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288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246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4333.4111</v>
      </c>
      <c r="E142" s="121">
        <v>4356.7139</v>
      </c>
      <c r="F142" s="60">
        <v>3600</v>
      </c>
      <c r="G142" s="143">
        <f t="shared" si="3"/>
        <v>23.30279999999948</v>
      </c>
      <c r="H142" s="44"/>
      <c r="I142" s="60">
        <f t="shared" si="4"/>
        <v>83890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</row>
    <row r="144" spans="1:54" ht="12.75">
      <c r="A144" s="74" t="s">
        <v>149</v>
      </c>
      <c r="B144" s="48" t="s">
        <v>115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</row>
    <row r="145" spans="1:54" ht="12.75">
      <c r="A145" s="196"/>
      <c r="B145" s="74" t="s">
        <v>114</v>
      </c>
      <c r="C145" s="194">
        <v>611127492</v>
      </c>
      <c r="D145" s="191">
        <v>6152.0268</v>
      </c>
      <c r="E145" s="191">
        <v>6224.1588</v>
      </c>
      <c r="F145" s="60">
        <v>20</v>
      </c>
      <c r="G145" s="142">
        <f t="shared" si="3"/>
        <v>72.13200000000052</v>
      </c>
      <c r="H145" s="60"/>
      <c r="I145" s="60">
        <f t="shared" si="4"/>
        <v>1443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150</v>
      </c>
      <c r="B146" s="48" t="s">
        <v>241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</row>
    <row r="147" spans="1:54" ht="12.75">
      <c r="A147" s="197"/>
      <c r="B147" s="70" t="s">
        <v>281</v>
      </c>
      <c r="C147" s="194">
        <v>611127702</v>
      </c>
      <c r="D147" s="191">
        <v>7058.7004</v>
      </c>
      <c r="E147" s="191">
        <v>7075.3816</v>
      </c>
      <c r="F147" s="60">
        <v>60</v>
      </c>
      <c r="G147" s="142">
        <f>E147-D147</f>
        <v>16.68119999999999</v>
      </c>
      <c r="H147" s="44"/>
      <c r="I147" s="60">
        <f>ROUND(F147*G147+H147,0)</f>
        <v>1001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</row>
    <row r="148" spans="1:54" ht="12.75">
      <c r="A148" s="63"/>
      <c r="B148" s="70" t="s">
        <v>282</v>
      </c>
      <c r="C148" s="194">
        <v>611127555</v>
      </c>
      <c r="D148" s="191">
        <v>2221.8124</v>
      </c>
      <c r="E148" s="191">
        <v>2271.1908</v>
      </c>
      <c r="F148" s="60">
        <v>60</v>
      </c>
      <c r="G148" s="142">
        <f>E148-D148</f>
        <v>49.378400000000056</v>
      </c>
      <c r="H148" s="44"/>
      <c r="I148" s="60">
        <f>ROUND(F148*G148+H148,0)</f>
        <v>2963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</row>
    <row r="149" spans="1:54" ht="12.75">
      <c r="A149" s="50" t="s">
        <v>151</v>
      </c>
      <c r="B149" s="48" t="s">
        <v>242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</row>
    <row r="150" spans="1:54" ht="12.75">
      <c r="A150" s="197"/>
      <c r="B150" s="74"/>
      <c r="C150" s="194">
        <v>1110171163</v>
      </c>
      <c r="D150" s="121">
        <v>623.144</v>
      </c>
      <c r="E150" s="121">
        <v>624.2424</v>
      </c>
      <c r="F150" s="60">
        <v>60</v>
      </c>
      <c r="G150" s="142">
        <f>E150-D150</f>
        <v>1.0983999999999696</v>
      </c>
      <c r="H150" s="44"/>
      <c r="I150" s="60">
        <f>ROUND(F150*G150+H150,0)</f>
        <v>66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</row>
    <row r="151" spans="1:54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</row>
    <row r="152" spans="1:54" ht="12.75">
      <c r="A152" s="50" t="s">
        <v>152</v>
      </c>
      <c r="B152" s="48" t="s">
        <v>243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4">
        <v>1110171170</v>
      </c>
      <c r="D153" s="191">
        <v>210.8516</v>
      </c>
      <c r="E153" s="191">
        <v>218.4728</v>
      </c>
      <c r="F153" s="60">
        <v>40</v>
      </c>
      <c r="G153" s="142">
        <f>E153-D153</f>
        <v>7.621200000000016</v>
      </c>
      <c r="H153" s="60"/>
      <c r="I153" s="60">
        <f>ROUND(F153*G153+H153,0)</f>
        <v>305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</row>
    <row r="154" spans="1:54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</row>
    <row r="155" spans="1:54" ht="12.75">
      <c r="A155" s="48" t="s">
        <v>153</v>
      </c>
      <c r="B155" s="52" t="s">
        <v>276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</row>
    <row r="156" spans="1:54" ht="12.75">
      <c r="A156" s="74"/>
      <c r="B156" s="65" t="s">
        <v>232</v>
      </c>
      <c r="C156" s="194">
        <v>611126404</v>
      </c>
      <c r="D156" s="191">
        <v>916.3089</v>
      </c>
      <c r="E156" s="191">
        <v>924.5326</v>
      </c>
      <c r="F156" s="60">
        <v>1800</v>
      </c>
      <c r="G156" s="142">
        <f>E156-D156</f>
        <v>8.223700000000008</v>
      </c>
      <c r="H156" s="60"/>
      <c r="I156" s="60">
        <f>ROUND(F156*G156+H156,0)</f>
        <v>14803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</row>
    <row r="157" spans="1:54" ht="12.75">
      <c r="A157" s="49"/>
      <c r="B157" s="54" t="s">
        <v>247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233</v>
      </c>
      <c r="B158" s="48" t="s">
        <v>244</v>
      </c>
      <c r="C158" s="194">
        <v>611127724</v>
      </c>
      <c r="D158" s="191">
        <v>688.3756</v>
      </c>
      <c r="E158" s="191">
        <v>699.85</v>
      </c>
      <c r="F158" s="60">
        <v>30</v>
      </c>
      <c r="G158" s="142">
        <f>E158-D158</f>
        <v>11.47440000000006</v>
      </c>
      <c r="H158" s="60"/>
      <c r="I158" s="60">
        <f>ROUND(F158*G158+H158,0)</f>
        <v>344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>
      <c r="A159" s="46"/>
      <c r="B159" s="74" t="s">
        <v>275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154</v>
      </c>
      <c r="G161" s="55"/>
      <c r="H161" s="56"/>
      <c r="I161" s="125">
        <f>SUM(I137:I159)-I160</f>
        <v>106602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155</v>
      </c>
      <c r="H162" s="56"/>
      <c r="I162" s="125">
        <f>I103+I104+I107+I108+I109+I110-I134-I161</f>
        <v>2805525.635999979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162</v>
      </c>
      <c r="B163" s="45" t="s">
        <v>156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160</v>
      </c>
      <c r="B164" s="48" t="s">
        <v>157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158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161</v>
      </c>
      <c r="B166" s="48" t="s">
        <v>159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158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163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164</v>
      </c>
      <c r="H169" s="56"/>
      <c r="I169" s="125">
        <f>I162+I168</f>
        <v>2805525.635999979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165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290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168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169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268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291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257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251</v>
      </c>
      <c r="BA178" s="47" t="s">
        <v>27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248</v>
      </c>
      <c r="AZ179" s="190">
        <f>AZ183+AZ184+AZ185</f>
        <v>2994683</v>
      </c>
      <c r="BA179" s="218">
        <f>AZ179*2.9</f>
        <v>8684580.7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249</v>
      </c>
      <c r="AZ180" s="190">
        <f>AZ187-AZ179-AZ181</f>
        <v>2547999</v>
      </c>
      <c r="BA180" s="218">
        <f>AZ180*2.9</f>
        <v>7389197.1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250</v>
      </c>
      <c r="AZ181" s="190">
        <f>AZ186</f>
        <v>163780</v>
      </c>
      <c r="BA181" s="218">
        <f>AZ181*2.9</f>
        <v>474962</v>
      </c>
      <c r="BB181" s="47"/>
    </row>
    <row r="182" spans="52:53" ht="12.75">
      <c r="AZ182" s="216"/>
      <c r="BA182" s="216"/>
    </row>
    <row r="183" spans="51:53" ht="12.75">
      <c r="AY183" s="47" t="s">
        <v>252</v>
      </c>
      <c r="AZ183" s="217">
        <v>2742934</v>
      </c>
      <c r="BA183" s="216"/>
    </row>
    <row r="184" spans="51:53" ht="12.75">
      <c r="AY184" s="47" t="s">
        <v>253</v>
      </c>
      <c r="AZ184" s="217">
        <f>AZ95</f>
        <v>69896</v>
      </c>
      <c r="BA184" s="216"/>
    </row>
    <row r="185" spans="51:53" ht="12.75">
      <c r="AY185" s="47" t="s">
        <v>255</v>
      </c>
      <c r="AZ185" s="217">
        <v>181853</v>
      </c>
      <c r="BA185" s="216"/>
    </row>
    <row r="186" spans="51:53" ht="12.75">
      <c r="AY186" s="47" t="s">
        <v>256</v>
      </c>
      <c r="AZ186" s="217">
        <v>163780</v>
      </c>
      <c r="BA186" s="216"/>
    </row>
    <row r="187" spans="51:52" ht="12.75">
      <c r="AY187" s="47" t="s">
        <v>254</v>
      </c>
      <c r="AZ187" s="217">
        <f>AZ131</f>
        <v>5706462</v>
      </c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 t="s">
        <v>285</v>
      </c>
      <c r="C196" s="3"/>
      <c r="D196" s="228">
        <v>42444</v>
      </c>
      <c r="E196" s="228">
        <v>42465</v>
      </c>
      <c r="F196" s="228">
        <v>1800</v>
      </c>
      <c r="G196" s="228">
        <f>E196-D196</f>
        <v>21</v>
      </c>
      <c r="H196" s="228"/>
      <c r="I196" s="60">
        <f>ROUND(F196*G196+H196,0)</f>
        <v>37800</v>
      </c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19" spans="1:9" ht="12.75">
      <c r="A219" s="48"/>
      <c r="B219" s="73"/>
      <c r="C219" s="48"/>
      <c r="D219" s="116"/>
      <c r="E219" s="117"/>
      <c r="F219" s="48"/>
      <c r="G219" s="48"/>
      <c r="H219" s="48"/>
      <c r="I219" s="48"/>
    </row>
    <row r="220" spans="1:9" ht="12.75">
      <c r="A220" s="74"/>
      <c r="B220" s="74"/>
      <c r="C220" s="74"/>
      <c r="D220" s="48"/>
      <c r="E220" s="50"/>
      <c r="F220" s="74"/>
      <c r="G220" s="74"/>
      <c r="H220" s="74"/>
      <c r="I220" s="74"/>
    </row>
    <row r="221" spans="1:9" ht="12.75">
      <c r="A221" s="49"/>
      <c r="B221" s="49"/>
      <c r="C221" s="49"/>
      <c r="D221" s="49"/>
      <c r="E221" s="46"/>
      <c r="F221" s="49"/>
      <c r="G221" s="49"/>
      <c r="H221" s="49"/>
      <c r="I221" s="49"/>
    </row>
    <row r="222" spans="1:9" ht="12.75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ht="12.75">
      <c r="A223" s="46"/>
      <c r="B223" s="53"/>
      <c r="C223" s="209"/>
      <c r="D223" s="209"/>
      <c r="E223" s="53"/>
      <c r="F223" s="53"/>
      <c r="G223" s="53"/>
      <c r="H223" s="53"/>
      <c r="I223" s="54"/>
    </row>
    <row r="224" spans="1:9" ht="12.75">
      <c r="A224" s="44"/>
      <c r="B224" s="45"/>
      <c r="C224" s="55"/>
      <c r="D224" s="55"/>
      <c r="E224" s="55"/>
      <c r="F224" s="55"/>
      <c r="G224" s="55"/>
      <c r="H224" s="55"/>
      <c r="I224" s="56"/>
    </row>
    <row r="225" spans="1:9" ht="12.75">
      <c r="A225" s="73"/>
      <c r="B225" s="48"/>
      <c r="C225" s="90"/>
      <c r="D225" s="121"/>
      <c r="E225" s="121"/>
      <c r="F225" s="60"/>
      <c r="G225" s="142"/>
      <c r="H225" s="44"/>
      <c r="I225" s="60"/>
    </row>
    <row r="226" spans="1:9" ht="12.75">
      <c r="A226" s="49"/>
      <c r="B226" s="46"/>
      <c r="C226" s="106"/>
      <c r="D226" s="121"/>
      <c r="E226" s="121"/>
      <c r="F226" s="60"/>
      <c r="G226" s="142"/>
      <c r="H226" s="44"/>
      <c r="I226" s="60"/>
    </row>
    <row r="227" spans="1:9" ht="12.75">
      <c r="A227" s="45"/>
      <c r="B227" s="55"/>
      <c r="C227" s="53"/>
      <c r="D227" s="55"/>
      <c r="E227" s="55"/>
      <c r="F227" s="107"/>
      <c r="G227" s="55"/>
      <c r="H227" s="56"/>
      <c r="I227" s="60"/>
    </row>
    <row r="228" spans="1:9" ht="12.75">
      <c r="A228" s="44"/>
      <c r="B228" s="45"/>
      <c r="C228" s="55"/>
      <c r="D228" s="55"/>
      <c r="E228" s="55"/>
      <c r="F228" s="55"/>
      <c r="G228" s="55"/>
      <c r="H228" s="55"/>
      <c r="I228" s="56"/>
    </row>
    <row r="229" spans="1:9" ht="12.75">
      <c r="A229" s="44"/>
      <c r="B229" s="44"/>
      <c r="C229" s="106"/>
      <c r="D229" s="121"/>
      <c r="E229" s="121"/>
      <c r="F229" s="60"/>
      <c r="G229" s="142"/>
      <c r="H229" s="44"/>
      <c r="I229" s="60"/>
    </row>
    <row r="230" spans="1:9" ht="12.75">
      <c r="A230" s="44"/>
      <c r="B230" s="55"/>
      <c r="C230" s="53"/>
      <c r="D230" s="55"/>
      <c r="E230" s="55"/>
      <c r="F230" s="107"/>
      <c r="G230" s="55"/>
      <c r="H230" s="56"/>
      <c r="I230" s="60"/>
    </row>
    <row r="231" spans="1:9" ht="12.75">
      <c r="A231" s="44"/>
      <c r="B231" s="45"/>
      <c r="C231" s="55"/>
      <c r="D231" s="55"/>
      <c r="E231" s="55"/>
      <c r="F231" s="55"/>
      <c r="G231" s="55"/>
      <c r="H231" s="56"/>
      <c r="I231" s="170"/>
    </row>
    <row r="232" spans="1:9" ht="12.75">
      <c r="A232" s="45"/>
      <c r="B232" s="45"/>
      <c r="C232" s="219"/>
      <c r="D232" s="220"/>
      <c r="E232" s="220"/>
      <c r="F232" s="221"/>
      <c r="G232" s="222"/>
      <c r="H232" s="56"/>
      <c r="I232" s="170"/>
    </row>
    <row r="233" spans="1:9" ht="12.75">
      <c r="A233" s="44"/>
      <c r="B233" s="45"/>
      <c r="C233" s="55"/>
      <c r="D233" s="55"/>
      <c r="E233" s="55"/>
      <c r="F233" s="55"/>
      <c r="G233" s="55"/>
      <c r="H233" s="55"/>
      <c r="I233" s="56"/>
    </row>
    <row r="234" spans="1:9" ht="12.75">
      <c r="A234" s="48"/>
      <c r="B234" s="48"/>
      <c r="C234" s="90"/>
      <c r="D234" s="73"/>
      <c r="E234" s="73"/>
      <c r="F234" s="75"/>
      <c r="G234" s="73"/>
      <c r="H234" s="73"/>
      <c r="I234" s="73"/>
    </row>
    <row r="235" spans="1:9" ht="12.75">
      <c r="A235" s="49"/>
      <c r="B235" s="49"/>
      <c r="C235" s="91"/>
      <c r="D235" s="212"/>
      <c r="E235" s="212"/>
      <c r="F235" s="68"/>
      <c r="G235" s="213"/>
      <c r="H235" s="68"/>
      <c r="I235" s="68"/>
    </row>
    <row r="236" spans="1:9" ht="12.75">
      <c r="A236" s="48"/>
      <c r="B236" s="48"/>
      <c r="C236" s="90"/>
      <c r="D236" s="214"/>
      <c r="E236" s="214"/>
      <c r="F236" s="75"/>
      <c r="G236" s="215"/>
      <c r="H236" s="73"/>
      <c r="I236" s="75"/>
    </row>
    <row r="237" spans="1:9" ht="12.75">
      <c r="A237" s="49"/>
      <c r="B237" s="49"/>
      <c r="C237" s="71"/>
      <c r="D237" s="119"/>
      <c r="E237" s="119"/>
      <c r="F237" s="68"/>
      <c r="G237" s="118"/>
      <c r="H237" s="71"/>
      <c r="I237" s="68"/>
    </row>
  </sheetData>
  <sheetProtection/>
  <printOptions/>
  <pageMargins left="0.7874015748031497" right="0.1968503937007874" top="0.1968503937007874" bottom="0.1968503937007874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79"/>
  <sheetViews>
    <sheetView zoomScalePageLayoutView="0" workbookViewId="0" topLeftCell="A1">
      <selection activeCell="C181" sqref="C181"/>
    </sheetView>
  </sheetViews>
  <sheetFormatPr defaultColWidth="9.00390625" defaultRowHeight="12.75"/>
  <cols>
    <col min="1" max="1" width="5.625" style="0" customWidth="1"/>
    <col min="2" max="2" width="38.25390625" style="0" customWidth="1"/>
    <col min="3" max="3" width="14.875" style="0" customWidth="1"/>
    <col min="4" max="4" width="13.25390625" style="0" customWidth="1"/>
    <col min="5" max="5" width="12.625" style="0" customWidth="1"/>
    <col min="6" max="6" width="9.375" style="0" customWidth="1"/>
    <col min="7" max="7" width="10.375" style="0" customWidth="1"/>
    <col min="8" max="8" width="8.25390625" style="0" customWidth="1"/>
    <col min="9" max="9" width="12.25390625" style="0" customWidth="1"/>
    <col min="10" max="10" width="5.625" style="0" customWidth="1"/>
    <col min="11" max="11" width="36.75390625" style="0" customWidth="1"/>
    <col min="12" max="12" width="14.875" style="0" customWidth="1"/>
    <col min="13" max="13" width="13.125" style="0" customWidth="1"/>
    <col min="14" max="14" width="12.375" style="0" customWidth="1"/>
    <col min="15" max="15" width="9.375" style="0" customWidth="1"/>
    <col min="16" max="16" width="10.375" style="0" customWidth="1"/>
    <col min="18" max="18" width="12.375" style="0" customWidth="1"/>
    <col min="19" max="19" width="7.375" style="0" customWidth="1"/>
    <col min="21" max="21" width="13.125" style="0" customWidth="1"/>
    <col min="22" max="22" width="26.75390625" style="0" customWidth="1"/>
    <col min="23" max="23" width="13.125" style="0" customWidth="1"/>
    <col min="24" max="24" width="12.625" style="0" customWidth="1"/>
    <col min="25" max="25" width="12.75390625" style="0" customWidth="1"/>
    <col min="26" max="26" width="13.125" style="0" customWidth="1"/>
    <col min="27" max="27" width="13.375" style="0" customWidth="1"/>
    <col min="28" max="28" width="6.375" style="0" customWidth="1"/>
    <col min="31" max="31" width="30.625" style="0" customWidth="1"/>
    <col min="32" max="32" width="13.125" style="0" customWidth="1"/>
    <col min="33" max="33" width="12.625" style="0" customWidth="1"/>
    <col min="34" max="35" width="13.25390625" style="0" customWidth="1"/>
    <col min="36" max="36" width="13.625" style="0" customWidth="1"/>
    <col min="37" max="37" width="6.75390625" style="0" customWidth="1"/>
    <col min="40" max="40" width="30.875" style="0" customWidth="1"/>
    <col min="41" max="41" width="13.75390625" style="0" customWidth="1"/>
    <col min="42" max="42" width="12.875" style="0" customWidth="1"/>
    <col min="43" max="43" width="11.625" style="0" customWidth="1"/>
    <col min="44" max="44" width="13.00390625" style="0" customWidth="1"/>
    <col min="45" max="45" width="12.375" style="0" customWidth="1"/>
    <col min="51" max="51" width="26.125" style="0" customWidth="1"/>
    <col min="52" max="52" width="17.125" style="0" customWidth="1"/>
    <col min="53" max="53" width="14.625" style="0" customWidth="1"/>
    <col min="54" max="54" width="15.625" style="0" customWidth="1"/>
    <col min="78" max="78" width="8.25390625" style="0" customWidth="1"/>
    <col min="81" max="81" width="11.00390625" style="0" customWidth="1"/>
    <col min="87" max="87" width="11.125" style="0" customWidth="1"/>
    <col min="89" max="89" width="5.875" style="0" customWidth="1"/>
    <col min="90" max="90" width="10.375" style="0" customWidth="1"/>
  </cols>
  <sheetData>
    <row r="1" spans="1:68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2.75">
      <c r="A2" s="47"/>
      <c r="B2" s="47"/>
      <c r="C2" s="47"/>
      <c r="D2" s="47" t="s">
        <v>90</v>
      </c>
      <c r="E2" s="47"/>
      <c r="F2" s="47"/>
      <c r="G2" s="47"/>
      <c r="H2" s="47"/>
      <c r="I2" s="47"/>
      <c r="J2" s="47"/>
      <c r="K2" s="47"/>
      <c r="L2" s="47"/>
      <c r="M2" s="47" t="s">
        <v>174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187</v>
      </c>
      <c r="AC2" s="47"/>
      <c r="AD2" s="47"/>
      <c r="AE2" s="47"/>
      <c r="AF2" s="47"/>
      <c r="AG2" s="47"/>
      <c r="AH2" s="47"/>
      <c r="AI2" s="47"/>
      <c r="AJ2" s="47"/>
      <c r="AK2" s="47" t="s">
        <v>187</v>
      </c>
      <c r="AL2" s="47"/>
      <c r="AM2" s="47"/>
      <c r="AN2" s="47"/>
      <c r="AO2" s="47"/>
      <c r="AP2" s="47"/>
      <c r="AQ2" s="47"/>
      <c r="AR2" s="47"/>
      <c r="AS2" s="47"/>
      <c r="AT2" s="64" t="s">
        <v>267</v>
      </c>
      <c r="AU2" s="47"/>
      <c r="AV2" s="47"/>
      <c r="AW2" s="47"/>
      <c r="AX2" s="47"/>
      <c r="AY2" s="47"/>
      <c r="AZ2" s="47"/>
      <c r="BA2" s="47"/>
      <c r="BB2" s="47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2.75">
      <c r="A3" s="47"/>
      <c r="B3" s="47"/>
      <c r="C3" s="47"/>
      <c r="D3" s="47" t="s">
        <v>91</v>
      </c>
      <c r="E3" s="47"/>
      <c r="F3" s="47"/>
      <c r="G3" s="47"/>
      <c r="H3" s="47"/>
      <c r="I3" s="47"/>
      <c r="J3" s="47"/>
      <c r="K3" s="47"/>
      <c r="L3" s="47"/>
      <c r="M3" s="47" t="s">
        <v>175</v>
      </c>
      <c r="N3" s="47"/>
      <c r="O3" s="47"/>
      <c r="P3" s="47"/>
      <c r="Q3" s="47"/>
      <c r="R3" s="47"/>
      <c r="S3" s="47" t="s">
        <v>187</v>
      </c>
      <c r="T3" s="47"/>
      <c r="U3" s="47"/>
      <c r="V3" s="47"/>
      <c r="W3" s="47"/>
      <c r="X3" s="47"/>
      <c r="Y3" s="47"/>
      <c r="Z3" s="47"/>
      <c r="AA3" s="47"/>
      <c r="AB3" s="47" t="s">
        <v>186</v>
      </c>
      <c r="AC3" s="47"/>
      <c r="AD3" s="47"/>
      <c r="AE3" s="47"/>
      <c r="AF3" s="47"/>
      <c r="AG3" s="47"/>
      <c r="AH3" s="47"/>
      <c r="AI3" s="47"/>
      <c r="AJ3" s="47"/>
      <c r="AK3" s="47" t="s">
        <v>186</v>
      </c>
      <c r="AL3" s="47"/>
      <c r="AM3" s="47"/>
      <c r="AN3" s="47"/>
      <c r="AO3" s="47"/>
      <c r="AP3" s="47"/>
      <c r="AQ3" s="47"/>
      <c r="AR3" s="47"/>
      <c r="AS3" s="47"/>
      <c r="AT3" s="64" t="s">
        <v>269</v>
      </c>
      <c r="AU3" s="47"/>
      <c r="AV3" s="47"/>
      <c r="AW3" s="47"/>
      <c r="AX3" s="47"/>
      <c r="AY3" s="47"/>
      <c r="AZ3" s="47"/>
      <c r="BA3" s="47"/>
      <c r="BB3" s="47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186</v>
      </c>
      <c r="T4" s="47"/>
      <c r="U4" s="47"/>
      <c r="V4" s="47"/>
      <c r="W4" s="47"/>
      <c r="X4" s="47"/>
      <c r="Y4" s="47"/>
      <c r="Z4" s="47"/>
      <c r="AA4" s="47"/>
      <c r="AB4" s="47" t="s">
        <v>188</v>
      </c>
      <c r="AC4" s="47"/>
      <c r="AD4" s="47"/>
      <c r="AE4" s="47"/>
      <c r="AF4" s="47"/>
      <c r="AG4" s="47"/>
      <c r="AH4" s="47"/>
      <c r="AI4" s="47"/>
      <c r="AJ4" s="47"/>
      <c r="AK4" s="47" t="s">
        <v>188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212</v>
      </c>
      <c r="AV4" s="47"/>
      <c r="AW4" s="47"/>
      <c r="AX4" s="47"/>
      <c r="AY4" s="144" t="s">
        <v>10</v>
      </c>
      <c r="AZ4" s="144" t="s">
        <v>293</v>
      </c>
      <c r="BA4" s="47"/>
      <c r="BB4" s="47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>
      <c r="A5" s="47"/>
      <c r="B5" s="47"/>
      <c r="C5" s="47" t="s">
        <v>92</v>
      </c>
      <c r="D5" s="47"/>
      <c r="E5" s="47"/>
      <c r="F5" s="47"/>
      <c r="G5" s="47"/>
      <c r="H5" s="47"/>
      <c r="I5" s="47"/>
      <c r="J5" s="47"/>
      <c r="K5" s="47"/>
      <c r="L5" s="47" t="s">
        <v>92</v>
      </c>
      <c r="M5" s="47"/>
      <c r="N5" s="47"/>
      <c r="O5" s="47"/>
      <c r="P5" s="47"/>
      <c r="Q5" s="47"/>
      <c r="R5" s="47"/>
      <c r="S5" s="47" t="s">
        <v>188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214</v>
      </c>
      <c r="AV5" s="51"/>
      <c r="AW5" s="51"/>
      <c r="AX5" s="51"/>
      <c r="AY5" s="51"/>
      <c r="AZ5" s="50" t="s">
        <v>215</v>
      </c>
      <c r="BA5" s="50" t="s">
        <v>216</v>
      </c>
      <c r="BB5" s="48" t="s">
        <v>201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.75">
      <c r="A6" s="47"/>
      <c r="B6" s="47"/>
      <c r="C6" s="47"/>
      <c r="D6" s="167" t="s">
        <v>297</v>
      </c>
      <c r="E6" s="167"/>
      <c r="F6" s="47"/>
      <c r="G6" s="47"/>
      <c r="H6" s="47"/>
      <c r="I6" s="47"/>
      <c r="J6" s="47"/>
      <c r="K6" s="47"/>
      <c r="L6" s="47"/>
      <c r="M6" s="167" t="s">
        <v>297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217</v>
      </c>
      <c r="BA6" s="63" t="s">
        <v>76</v>
      </c>
      <c r="BB6" s="74" t="s">
        <v>14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.75">
      <c r="A7" s="47" t="s">
        <v>265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77</v>
      </c>
      <c r="BA7" s="46"/>
      <c r="BB7" s="49" t="s">
        <v>15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.75">
      <c r="A8" s="47" t="s">
        <v>93</v>
      </c>
      <c r="B8" s="47"/>
      <c r="C8" s="47"/>
      <c r="D8" s="47"/>
      <c r="E8" s="47"/>
      <c r="F8" s="47"/>
      <c r="G8" s="47"/>
      <c r="H8" s="47"/>
      <c r="I8" s="47"/>
      <c r="J8" s="47" t="s">
        <v>265</v>
      </c>
      <c r="K8" s="47"/>
      <c r="L8" s="47"/>
      <c r="M8" s="47"/>
      <c r="N8" s="47"/>
      <c r="O8" s="47"/>
      <c r="P8" s="47"/>
      <c r="Q8" s="47"/>
      <c r="R8" s="47"/>
      <c r="S8" s="47" t="s">
        <v>199</v>
      </c>
      <c r="T8" s="47"/>
      <c r="U8" s="47"/>
      <c r="V8" s="47"/>
      <c r="W8" s="47"/>
      <c r="X8" s="47"/>
      <c r="Y8" s="47"/>
      <c r="Z8" s="47"/>
      <c r="AA8" s="47"/>
      <c r="AB8" s="47" t="s">
        <v>199</v>
      </c>
      <c r="AC8" s="47"/>
      <c r="AD8" s="47"/>
      <c r="AE8" s="47"/>
      <c r="AF8" s="47"/>
      <c r="AG8" s="47"/>
      <c r="AH8" s="47"/>
      <c r="AI8" s="47"/>
      <c r="AJ8" s="47"/>
      <c r="AK8" s="47" t="s">
        <v>199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13457442.199999997</v>
      </c>
      <c r="BA8" s="168"/>
      <c r="BB8" s="169">
        <f>BB9+BB14</f>
        <v>23138900.02424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.75">
      <c r="A9" s="47" t="s">
        <v>95</v>
      </c>
      <c r="B9" s="47"/>
      <c r="C9" s="47"/>
      <c r="D9" s="47"/>
      <c r="E9" s="47"/>
      <c r="F9" s="47" t="s">
        <v>94</v>
      </c>
      <c r="G9" s="47"/>
      <c r="H9" s="47"/>
      <c r="I9" s="47"/>
      <c r="J9" s="47" t="s">
        <v>93</v>
      </c>
      <c r="K9" s="47"/>
      <c r="L9" s="47"/>
      <c r="M9" s="47"/>
      <c r="N9" s="47"/>
      <c r="O9" s="47" t="s">
        <v>94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203</v>
      </c>
      <c r="AU9" s="146"/>
      <c r="AV9" s="146"/>
      <c r="AW9" s="146"/>
      <c r="AX9" s="51"/>
      <c r="AY9" s="52"/>
      <c r="AZ9" s="170">
        <f>AZ11+AZ12</f>
        <v>5913394</v>
      </c>
      <c r="BA9" s="171">
        <f>(BB12+BB11)/AZ9</f>
        <v>3.912419873263983</v>
      </c>
      <c r="BB9" s="169">
        <f>BB10+BB11+BB12+BB13</f>
        <v>23135680.20404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.75">
      <c r="A10" s="48" t="s">
        <v>190</v>
      </c>
      <c r="B10" s="73" t="s">
        <v>96</v>
      </c>
      <c r="C10" s="48" t="s">
        <v>97</v>
      </c>
      <c r="D10" s="116" t="s">
        <v>172</v>
      </c>
      <c r="E10" s="117"/>
      <c r="F10" s="48" t="s">
        <v>98</v>
      </c>
      <c r="G10" s="48" t="s">
        <v>213</v>
      </c>
      <c r="H10" s="48" t="s">
        <v>99</v>
      </c>
      <c r="I10" s="48" t="s">
        <v>89</v>
      </c>
      <c r="J10" s="47" t="s">
        <v>95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298</v>
      </c>
      <c r="Z10" s="47"/>
      <c r="AA10" s="47"/>
      <c r="AB10" s="47"/>
      <c r="AC10" s="47"/>
      <c r="AD10" s="47"/>
      <c r="AE10" s="47"/>
      <c r="AF10" s="47"/>
      <c r="AG10" s="47"/>
      <c r="AH10" s="167" t="s">
        <v>298</v>
      </c>
      <c r="AI10" s="47"/>
      <c r="AJ10" s="47"/>
      <c r="AK10" s="47"/>
      <c r="AL10" s="47"/>
      <c r="AM10" s="47"/>
      <c r="AN10" s="47"/>
      <c r="AO10" s="47"/>
      <c r="AP10" s="47"/>
      <c r="AQ10" s="167" t="s">
        <v>298</v>
      </c>
      <c r="AR10" s="47"/>
      <c r="AS10" s="47"/>
      <c r="AT10" s="50" t="s">
        <v>78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.75">
      <c r="A11" s="74"/>
      <c r="B11" s="74"/>
      <c r="C11" s="74"/>
      <c r="D11" s="48" t="s">
        <v>100</v>
      </c>
      <c r="E11" s="50" t="s">
        <v>101</v>
      </c>
      <c r="F11" s="74" t="s">
        <v>102</v>
      </c>
      <c r="G11" s="74" t="s">
        <v>88</v>
      </c>
      <c r="H11" s="74"/>
      <c r="I11" s="74" t="s">
        <v>103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79</v>
      </c>
      <c r="AU11" s="51"/>
      <c r="AV11" s="51"/>
      <c r="AW11" s="51"/>
      <c r="AX11" s="51"/>
      <c r="AY11" s="52"/>
      <c r="AZ11" s="60">
        <f>I81+I73</f>
        <v>9976</v>
      </c>
      <c r="BA11" s="175">
        <v>5.64029</v>
      </c>
      <c r="BB11" s="174">
        <f>AZ11*BA11</f>
        <v>56267.53304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.75">
      <c r="A12" s="49"/>
      <c r="B12" s="49"/>
      <c r="C12" s="49"/>
      <c r="D12" s="49" t="s">
        <v>104</v>
      </c>
      <c r="E12" s="46" t="s">
        <v>104</v>
      </c>
      <c r="F12" s="49" t="s">
        <v>105</v>
      </c>
      <c r="G12" s="49"/>
      <c r="H12" s="49"/>
      <c r="I12" s="49"/>
      <c r="J12" s="48" t="s">
        <v>190</v>
      </c>
      <c r="K12" s="73" t="s">
        <v>96</v>
      </c>
      <c r="L12" s="48" t="s">
        <v>97</v>
      </c>
      <c r="M12" s="116" t="s">
        <v>229</v>
      </c>
      <c r="N12" s="117"/>
      <c r="O12" s="48" t="s">
        <v>98</v>
      </c>
      <c r="P12" s="48" t="s">
        <v>213</v>
      </c>
      <c r="Q12" s="48" t="s">
        <v>99</v>
      </c>
      <c r="R12" s="48" t="s">
        <v>89</v>
      </c>
      <c r="S12" s="48" t="s">
        <v>190</v>
      </c>
      <c r="T12" s="50" t="s">
        <v>191</v>
      </c>
      <c r="U12" s="51"/>
      <c r="V12" s="52"/>
      <c r="W12" s="45" t="s">
        <v>192</v>
      </c>
      <c r="X12" s="55"/>
      <c r="Y12" s="55"/>
      <c r="Z12" s="55"/>
      <c r="AA12" s="56"/>
      <c r="AB12" s="48" t="s">
        <v>190</v>
      </c>
      <c r="AC12" s="50" t="s">
        <v>191</v>
      </c>
      <c r="AD12" s="51"/>
      <c r="AE12" s="52"/>
      <c r="AF12" s="45" t="s">
        <v>192</v>
      </c>
      <c r="AG12" s="55"/>
      <c r="AH12" s="55"/>
      <c r="AI12" s="55"/>
      <c r="AJ12" s="56"/>
      <c r="AK12" s="48" t="s">
        <v>190</v>
      </c>
      <c r="AL12" s="50" t="s">
        <v>191</v>
      </c>
      <c r="AM12" s="51"/>
      <c r="AN12" s="52"/>
      <c r="AO12" s="45" t="s">
        <v>192</v>
      </c>
      <c r="AP12" s="55"/>
      <c r="AQ12" s="55"/>
      <c r="AR12" s="55"/>
      <c r="AS12" s="56"/>
      <c r="AT12" s="50" t="s">
        <v>80</v>
      </c>
      <c r="AU12" s="51"/>
      <c r="AV12" s="51"/>
      <c r="AW12" s="51"/>
      <c r="AX12" s="51"/>
      <c r="AY12" s="52"/>
      <c r="AZ12" s="170">
        <f>I75</f>
        <v>5903418</v>
      </c>
      <c r="BA12" s="176">
        <v>3.9095</v>
      </c>
      <c r="BB12" s="174">
        <f>AZ12*BA12</f>
        <v>23079412.671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100</v>
      </c>
      <c r="N13" s="50" t="s">
        <v>101</v>
      </c>
      <c r="O13" s="74" t="s">
        <v>102</v>
      </c>
      <c r="P13" s="74" t="s">
        <v>88</v>
      </c>
      <c r="Q13" s="74"/>
      <c r="R13" s="74" t="s">
        <v>103</v>
      </c>
      <c r="S13" s="49"/>
      <c r="T13" s="46"/>
      <c r="U13" s="53"/>
      <c r="V13" s="54"/>
      <c r="W13" s="57" t="s">
        <v>193</v>
      </c>
      <c r="X13" s="57" t="s">
        <v>194</v>
      </c>
      <c r="Y13" s="57" t="s">
        <v>195</v>
      </c>
      <c r="Z13" s="57" t="s">
        <v>196</v>
      </c>
      <c r="AA13" s="57" t="s">
        <v>197</v>
      </c>
      <c r="AB13" s="49"/>
      <c r="AC13" s="46"/>
      <c r="AD13" s="53"/>
      <c r="AE13" s="54"/>
      <c r="AF13" s="57" t="s">
        <v>193</v>
      </c>
      <c r="AG13" s="57" t="s">
        <v>194</v>
      </c>
      <c r="AH13" s="57" t="s">
        <v>195</v>
      </c>
      <c r="AI13" s="57" t="s">
        <v>196</v>
      </c>
      <c r="AJ13" s="57" t="s">
        <v>197</v>
      </c>
      <c r="AK13" s="49"/>
      <c r="AL13" s="46"/>
      <c r="AM13" s="53"/>
      <c r="AN13" s="54"/>
      <c r="AO13" s="57" t="s">
        <v>193</v>
      </c>
      <c r="AP13" s="57" t="s">
        <v>194</v>
      </c>
      <c r="AQ13" s="57" t="s">
        <v>195</v>
      </c>
      <c r="AR13" s="57" t="s">
        <v>196</v>
      </c>
      <c r="AS13" s="57" t="s">
        <v>197</v>
      </c>
      <c r="AT13" s="45" t="s">
        <v>73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.75">
      <c r="A14" s="46"/>
      <c r="B14" s="53"/>
      <c r="C14" s="209" t="s">
        <v>106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104</v>
      </c>
      <c r="N14" s="46" t="s">
        <v>104</v>
      </c>
      <c r="O14" s="49" t="s">
        <v>105</v>
      </c>
      <c r="P14" s="49"/>
      <c r="Q14" s="49"/>
      <c r="R14" s="49"/>
      <c r="S14" s="57">
        <v>1</v>
      </c>
      <c r="T14" s="44" t="s">
        <v>64</v>
      </c>
      <c r="U14" s="44"/>
      <c r="V14" s="44"/>
      <c r="W14" s="60">
        <f aca="true" t="shared" si="0" ref="W14:W25">SUM(X14:AA14)</f>
        <v>7267983</v>
      </c>
      <c r="X14" s="60">
        <f>SUM(X15:X26)</f>
        <v>6064857</v>
      </c>
      <c r="Y14" s="60">
        <f>SUM(Y15:Y27)</f>
        <v>0</v>
      </c>
      <c r="Z14" s="60">
        <f>SUM(Z15:Z26)</f>
        <v>1203126</v>
      </c>
      <c r="AA14" s="57">
        <f>SUM(AA15:AA27)</f>
        <v>0</v>
      </c>
      <c r="AB14" s="57"/>
      <c r="AC14" s="44" t="s">
        <v>43</v>
      </c>
      <c r="AD14" s="44"/>
      <c r="AE14" s="44"/>
      <c r="AF14" s="67">
        <f>SUM(AG14:AJ14)</f>
        <v>194231</v>
      </c>
      <c r="AG14" s="60">
        <f>SUM(AG16:AG22)</f>
        <v>184877</v>
      </c>
      <c r="AH14" s="60">
        <f>SUM(AH16:AH22)</f>
        <v>0</v>
      </c>
      <c r="AI14" s="60">
        <f>SUM(AI16:AI22)</f>
        <v>9354</v>
      </c>
      <c r="AJ14" s="57">
        <f>SUM(AJ16:AJ22)</f>
        <v>0</v>
      </c>
      <c r="AK14" s="73">
        <v>1</v>
      </c>
      <c r="AL14" s="48" t="s">
        <v>43</v>
      </c>
      <c r="AM14" s="48"/>
      <c r="AN14" s="48"/>
      <c r="AO14" s="75">
        <f>SUM(AP14:AS14)</f>
        <v>81795</v>
      </c>
      <c r="AP14" s="75">
        <f>SUM(AP16:AP17)</f>
        <v>0</v>
      </c>
      <c r="AQ14" s="75">
        <f>SUM(AQ16:AQ17)</f>
        <v>0</v>
      </c>
      <c r="AR14" s="75">
        <f>ROUND(SUM(AR16:AR20),0)</f>
        <v>81795</v>
      </c>
      <c r="AS14" s="73">
        <f>SUM(AS16:AS17)</f>
        <v>0</v>
      </c>
      <c r="AT14" s="49" t="s">
        <v>219</v>
      </c>
      <c r="AU14" s="49"/>
      <c r="AV14" s="49"/>
      <c r="AW14" s="49"/>
      <c r="AX14" s="49"/>
      <c r="AY14" s="49"/>
      <c r="AZ14" s="170">
        <f>SUM(AZ15:AZ21)</f>
        <v>730</v>
      </c>
      <c r="BA14" s="177"/>
      <c r="BB14" s="174">
        <f>SUM(BB15:BB21)</f>
        <v>3219.8202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.75">
      <c r="A15" s="46"/>
      <c r="B15" s="45" t="s">
        <v>258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50</v>
      </c>
      <c r="T15" s="50" t="s">
        <v>28</v>
      </c>
      <c r="U15" s="51"/>
      <c r="V15" s="51"/>
      <c r="W15" s="67">
        <f t="shared" si="0"/>
        <v>3641192</v>
      </c>
      <c r="X15" s="88">
        <f>ROUND(I20,0)</f>
        <v>3641192</v>
      </c>
      <c r="Y15" s="73">
        <v>0</v>
      </c>
      <c r="Z15" s="73">
        <v>0</v>
      </c>
      <c r="AA15" s="73">
        <v>0</v>
      </c>
      <c r="AB15" s="73">
        <v>1</v>
      </c>
      <c r="AC15" s="50" t="s">
        <v>278</v>
      </c>
      <c r="AD15" s="51"/>
      <c r="AE15" s="52"/>
      <c r="AF15" s="66"/>
      <c r="AG15" s="69"/>
      <c r="AH15" s="69"/>
      <c r="AI15" s="69"/>
      <c r="AJ15" s="192"/>
      <c r="AK15" s="208"/>
      <c r="AL15" s="50" t="s">
        <v>280</v>
      </c>
      <c r="AM15" s="51"/>
      <c r="AN15" s="52"/>
      <c r="AO15" s="75"/>
      <c r="AP15" s="73"/>
      <c r="AQ15" s="73"/>
      <c r="AR15" s="75"/>
      <c r="AS15" s="73"/>
      <c r="AT15" s="52" t="s">
        <v>74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.75">
      <c r="A16" s="73">
        <v>1</v>
      </c>
      <c r="B16" s="48" t="s">
        <v>146</v>
      </c>
      <c r="C16" s="90">
        <v>804152757</v>
      </c>
      <c r="D16" s="121">
        <v>5069.0767</v>
      </c>
      <c r="E16" s="121">
        <v>5178.2875</v>
      </c>
      <c r="F16" s="60">
        <v>36000</v>
      </c>
      <c r="G16" s="142">
        <f>E16-D16</f>
        <v>109.21080000000075</v>
      </c>
      <c r="H16" s="44"/>
      <c r="I16" s="60">
        <f>ROUND((F16*G16+H16),0)</f>
        <v>3931589</v>
      </c>
      <c r="J16" s="46"/>
      <c r="K16" s="53"/>
      <c r="L16" s="53" t="s">
        <v>106</v>
      </c>
      <c r="M16" s="53"/>
      <c r="N16" s="53"/>
      <c r="O16" s="53"/>
      <c r="P16" s="53"/>
      <c r="Q16" s="53"/>
      <c r="R16" s="54"/>
      <c r="S16" s="61" t="s">
        <v>51</v>
      </c>
      <c r="T16" s="63" t="s">
        <v>29</v>
      </c>
      <c r="U16" s="64"/>
      <c r="V16" s="64"/>
      <c r="W16" s="67">
        <f t="shared" si="0"/>
        <v>159598</v>
      </c>
      <c r="X16" s="81">
        <f>ROUND(I27,0)</f>
        <v>159598</v>
      </c>
      <c r="Y16" s="70">
        <v>0</v>
      </c>
      <c r="Z16" s="67">
        <v>0</v>
      </c>
      <c r="AA16" s="70">
        <v>0</v>
      </c>
      <c r="AB16" s="61" t="s">
        <v>50</v>
      </c>
      <c r="AC16" s="63" t="s">
        <v>198</v>
      </c>
      <c r="AD16" s="64"/>
      <c r="AE16" s="65"/>
      <c r="AF16" s="67">
        <f>AG16+AH16+AI16+AJ16</f>
        <v>184877</v>
      </c>
      <c r="AG16" s="67">
        <v>184877</v>
      </c>
      <c r="AH16" s="70">
        <v>0</v>
      </c>
      <c r="AI16" s="67">
        <v>0</v>
      </c>
      <c r="AJ16" s="87">
        <v>0</v>
      </c>
      <c r="AK16" s="61" t="s">
        <v>50</v>
      </c>
      <c r="AL16" s="63" t="s">
        <v>16</v>
      </c>
      <c r="AM16" s="64"/>
      <c r="AN16" s="65"/>
      <c r="AO16" s="67">
        <f>AP16+AQ16+AR16+AS16</f>
        <v>227</v>
      </c>
      <c r="AP16" s="70">
        <v>0</v>
      </c>
      <c r="AQ16" s="70">
        <v>0</v>
      </c>
      <c r="AR16" s="67">
        <v>227</v>
      </c>
      <c r="AS16" s="70">
        <v>0</v>
      </c>
      <c r="AT16" s="52" t="s">
        <v>74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.75">
      <c r="A17" s="49"/>
      <c r="B17" s="46" t="s">
        <v>147</v>
      </c>
      <c r="C17" s="106">
        <v>109054169</v>
      </c>
      <c r="D17" s="121">
        <v>7769.3908</v>
      </c>
      <c r="E17" s="121">
        <v>7930.4065</v>
      </c>
      <c r="F17" s="60">
        <v>36000</v>
      </c>
      <c r="G17" s="142">
        <f>E17-D17</f>
        <v>161.01569999999992</v>
      </c>
      <c r="H17" s="44"/>
      <c r="I17" s="60">
        <f>F17*G17+H17</f>
        <v>5796565.199999997</v>
      </c>
      <c r="J17" s="44"/>
      <c r="K17" s="45" t="s">
        <v>107</v>
      </c>
      <c r="L17" s="55"/>
      <c r="M17" s="55"/>
      <c r="N17" s="55"/>
      <c r="O17" s="55"/>
      <c r="P17" s="55"/>
      <c r="Q17" s="55"/>
      <c r="R17" s="56"/>
      <c r="S17" s="61" t="s">
        <v>52</v>
      </c>
      <c r="T17" s="63" t="s">
        <v>30</v>
      </c>
      <c r="U17" s="64"/>
      <c r="V17" s="64"/>
      <c r="W17" s="67">
        <f t="shared" si="0"/>
        <v>343248</v>
      </c>
      <c r="X17" s="81">
        <f>ROUND(I29,0)</f>
        <v>343248</v>
      </c>
      <c r="Y17" s="70">
        <v>0</v>
      </c>
      <c r="Z17" s="67">
        <v>0</v>
      </c>
      <c r="AA17" s="70">
        <v>0</v>
      </c>
      <c r="AB17" s="61" t="s">
        <v>51</v>
      </c>
      <c r="AC17" s="63" t="s">
        <v>72</v>
      </c>
      <c r="AD17" s="64"/>
      <c r="AE17" s="65"/>
      <c r="AF17" s="67">
        <f>AG17+AH17+AI17+AJ17</f>
        <v>1625</v>
      </c>
      <c r="AG17" s="70">
        <v>0</v>
      </c>
      <c r="AH17" s="70">
        <v>0</v>
      </c>
      <c r="AI17" s="67">
        <v>1625</v>
      </c>
      <c r="AJ17" s="87">
        <v>0</v>
      </c>
      <c r="AK17" s="61" t="s">
        <v>51</v>
      </c>
      <c r="AL17" s="63" t="s">
        <v>166</v>
      </c>
      <c r="AM17" s="64"/>
      <c r="AN17" s="65"/>
      <c r="AO17" s="67">
        <f>AP17+AQ17+AR17+AS17</f>
        <v>2224</v>
      </c>
      <c r="AP17" s="70">
        <v>0</v>
      </c>
      <c r="AQ17" s="70">
        <v>0</v>
      </c>
      <c r="AR17" s="67">
        <v>2224</v>
      </c>
      <c r="AS17" s="70">
        <v>0</v>
      </c>
      <c r="AT17" s="51" t="s">
        <v>46</v>
      </c>
      <c r="AU17" s="51"/>
      <c r="AV17" s="51"/>
      <c r="AW17" s="51"/>
      <c r="AX17" s="51"/>
      <c r="AY17" s="52"/>
      <c r="AZ17" s="170">
        <f>R21</f>
        <v>380</v>
      </c>
      <c r="BA17" s="180">
        <v>3.41</v>
      </c>
      <c r="BB17" s="174">
        <f>AZ17*BA17</f>
        <v>1295.8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.75">
      <c r="A18" s="45"/>
      <c r="B18" s="55"/>
      <c r="C18" s="53"/>
      <c r="D18" s="55"/>
      <c r="E18" s="55"/>
      <c r="F18" s="107" t="s">
        <v>109</v>
      </c>
      <c r="G18" s="55"/>
      <c r="H18" s="56"/>
      <c r="I18" s="60">
        <f>ROUND((I16+I17+I22),0)</f>
        <v>9806274</v>
      </c>
      <c r="J18" s="57">
        <v>1</v>
      </c>
      <c r="K18" s="45" t="s">
        <v>108</v>
      </c>
      <c r="L18" s="55"/>
      <c r="M18" s="55"/>
      <c r="N18" s="55"/>
      <c r="O18" s="55"/>
      <c r="P18" s="55"/>
      <c r="Q18" s="55"/>
      <c r="R18" s="56"/>
      <c r="S18" s="61" t="s">
        <v>53</v>
      </c>
      <c r="T18" s="63" t="s">
        <v>31</v>
      </c>
      <c r="U18" s="64"/>
      <c r="V18" s="64"/>
      <c r="W18" s="67">
        <f t="shared" si="0"/>
        <v>241671</v>
      </c>
      <c r="X18" s="81">
        <f>ROUND(I31,0)</f>
        <v>241671</v>
      </c>
      <c r="Y18" s="70">
        <v>0</v>
      </c>
      <c r="Z18" s="67">
        <v>0</v>
      </c>
      <c r="AA18" s="70">
        <v>0</v>
      </c>
      <c r="AB18" s="62" t="s">
        <v>52</v>
      </c>
      <c r="AC18" s="53" t="s">
        <v>61</v>
      </c>
      <c r="AD18" s="53"/>
      <c r="AE18" s="53"/>
      <c r="AF18" s="68">
        <f>AG18+AH18+AI18+AJ18</f>
        <v>7729</v>
      </c>
      <c r="AG18" s="71">
        <v>0</v>
      </c>
      <c r="AH18" s="71">
        <v>0</v>
      </c>
      <c r="AI18" s="68">
        <v>7729</v>
      </c>
      <c r="AJ18" s="207">
        <v>0</v>
      </c>
      <c r="AK18" s="61" t="s">
        <v>52</v>
      </c>
      <c r="AL18" s="63" t="s">
        <v>42</v>
      </c>
      <c r="AM18" s="64"/>
      <c r="AN18" s="65"/>
      <c r="AO18" s="67">
        <f>AP18+AQ18+AR18+AS18</f>
        <v>63638</v>
      </c>
      <c r="AP18" s="70">
        <v>0</v>
      </c>
      <c r="AQ18" s="70">
        <v>0</v>
      </c>
      <c r="AR18" s="67">
        <v>63638</v>
      </c>
      <c r="AS18" s="70">
        <v>0</v>
      </c>
      <c r="AT18" s="51" t="s">
        <v>47</v>
      </c>
      <c r="AU18" s="51"/>
      <c r="AV18" s="51"/>
      <c r="AW18" s="51"/>
      <c r="AX18" s="51"/>
      <c r="AY18" s="52"/>
      <c r="AZ18" s="170">
        <f>R22</f>
        <v>60</v>
      </c>
      <c r="BA18" s="180">
        <v>1.62</v>
      </c>
      <c r="BB18" s="174">
        <f>AZ18*BA18</f>
        <v>97.2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.75">
      <c r="A19" s="44" t="s">
        <v>110</v>
      </c>
      <c r="B19" s="45" t="s">
        <v>230</v>
      </c>
      <c r="C19" s="55"/>
      <c r="D19" s="55"/>
      <c r="E19" s="55"/>
      <c r="F19" s="55"/>
      <c r="G19" s="55"/>
      <c r="H19" s="55"/>
      <c r="I19" s="56"/>
      <c r="J19" s="73" t="s">
        <v>110</v>
      </c>
      <c r="K19" s="48" t="s">
        <v>176</v>
      </c>
      <c r="L19" s="73">
        <v>16654</v>
      </c>
      <c r="M19" s="124">
        <v>6136</v>
      </c>
      <c r="N19" s="124">
        <v>6426</v>
      </c>
      <c r="O19" s="73">
        <v>1</v>
      </c>
      <c r="P19" s="148">
        <f>N19-M19</f>
        <v>290</v>
      </c>
      <c r="Q19" s="149"/>
      <c r="R19" s="75">
        <f>O19*P19+Q19</f>
        <v>290</v>
      </c>
      <c r="S19" s="61" t="s">
        <v>58</v>
      </c>
      <c r="T19" s="63" t="s">
        <v>32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53</v>
      </c>
      <c r="AL19" s="63" t="s">
        <v>63</v>
      </c>
      <c r="AM19" s="64"/>
      <c r="AN19" s="65"/>
      <c r="AO19" s="67">
        <f>AP19+AQ19+AR19+AS19</f>
        <v>884</v>
      </c>
      <c r="AP19" s="67">
        <v>0</v>
      </c>
      <c r="AQ19" s="70">
        <v>0</v>
      </c>
      <c r="AR19" s="67">
        <v>884</v>
      </c>
      <c r="AS19" s="70">
        <v>0</v>
      </c>
      <c r="AT19" s="51" t="s">
        <v>81</v>
      </c>
      <c r="AU19" s="51"/>
      <c r="AV19" s="51"/>
      <c r="AW19" s="51"/>
      <c r="AX19" s="51"/>
      <c r="AY19" s="52"/>
      <c r="AZ19" s="181">
        <f>R19+R20</f>
        <v>290</v>
      </c>
      <c r="BA19" s="175">
        <v>6.29938</v>
      </c>
      <c r="BB19" s="174">
        <f>AZ19*BA19</f>
        <v>1826.8202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.75">
      <c r="A20" s="44" t="s">
        <v>112</v>
      </c>
      <c r="B20" s="44" t="s">
        <v>113</v>
      </c>
      <c r="C20" s="106">
        <v>109053225</v>
      </c>
      <c r="D20" s="121">
        <v>19570.6084</v>
      </c>
      <c r="E20" s="121">
        <v>19743.9985</v>
      </c>
      <c r="F20" s="60">
        <v>21000</v>
      </c>
      <c r="G20" s="142">
        <f>E20-D20</f>
        <v>173.39010000000053</v>
      </c>
      <c r="H20" s="44"/>
      <c r="I20" s="60">
        <f>ROUND((F20*G20+H20),0)</f>
        <v>3641192</v>
      </c>
      <c r="J20" s="49"/>
      <c r="K20" s="49" t="s">
        <v>177</v>
      </c>
      <c r="L20" s="49"/>
      <c r="M20" s="49"/>
      <c r="N20" s="49"/>
      <c r="O20" s="49"/>
      <c r="P20" s="80"/>
      <c r="Q20" s="150"/>
      <c r="R20" s="166"/>
      <c r="S20" s="61" t="s">
        <v>62</v>
      </c>
      <c r="T20" s="63" t="s">
        <v>33</v>
      </c>
      <c r="U20" s="64"/>
      <c r="V20" s="64"/>
      <c r="W20" s="67">
        <f t="shared" si="0"/>
        <v>718124</v>
      </c>
      <c r="X20" s="81">
        <f>ROUND(I35,0)</f>
        <v>718124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58</v>
      </c>
      <c r="AL20" s="46" t="s">
        <v>279</v>
      </c>
      <c r="AM20" s="53"/>
      <c r="AN20" s="54"/>
      <c r="AO20" s="68">
        <f>AP20+AQ20+AR20+AS20</f>
        <v>14822</v>
      </c>
      <c r="AP20" s="68"/>
      <c r="AQ20" s="71"/>
      <c r="AR20" s="68">
        <v>14822</v>
      </c>
      <c r="AS20" s="71"/>
      <c r="AT20" s="51" t="s">
        <v>218</v>
      </c>
      <c r="AU20" s="51"/>
      <c r="AV20" s="51"/>
      <c r="AW20" s="51"/>
      <c r="AX20" s="51"/>
      <c r="AY20" s="52"/>
      <c r="AZ20" s="170"/>
      <c r="BA20" s="180"/>
      <c r="BB20" s="169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.75">
      <c r="A21" s="44" t="s">
        <v>259</v>
      </c>
      <c r="B21" s="55" t="s">
        <v>262</v>
      </c>
      <c r="C21" s="53"/>
      <c r="D21" s="55"/>
      <c r="E21" s="55"/>
      <c r="F21" s="107"/>
      <c r="G21" s="55"/>
      <c r="H21" s="56"/>
      <c r="I21" s="60"/>
      <c r="J21" s="48" t="s">
        <v>116</v>
      </c>
      <c r="K21" s="48" t="s">
        <v>179</v>
      </c>
      <c r="L21" s="225">
        <v>122848480</v>
      </c>
      <c r="M21" s="224">
        <v>539</v>
      </c>
      <c r="N21" s="224">
        <v>558</v>
      </c>
      <c r="O21" s="57">
        <v>20</v>
      </c>
      <c r="P21" s="223">
        <f>N21-M21</f>
        <v>19</v>
      </c>
      <c r="Q21" s="151"/>
      <c r="R21" s="60">
        <f>O21*P21+Q21</f>
        <v>380</v>
      </c>
      <c r="S21" s="61" t="s">
        <v>65</v>
      </c>
      <c r="T21" s="63" t="s">
        <v>34</v>
      </c>
      <c r="U21" s="64"/>
      <c r="V21" s="64"/>
      <c r="W21" s="67">
        <f t="shared" si="0"/>
        <v>208744</v>
      </c>
      <c r="X21" s="81">
        <f>ROUND(I37,0)</f>
        <v>208744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.75">
      <c r="A22" s="44" t="s">
        <v>260</v>
      </c>
      <c r="B22" s="45" t="s">
        <v>263</v>
      </c>
      <c r="C22" s="55"/>
      <c r="D22" s="55"/>
      <c r="E22" s="55"/>
      <c r="F22" s="55"/>
      <c r="G22" s="55"/>
      <c r="H22" s="56"/>
      <c r="I22" s="170">
        <v>78120</v>
      </c>
      <c r="J22" s="49"/>
      <c r="K22" s="49" t="s">
        <v>178</v>
      </c>
      <c r="L22" s="225">
        <v>122848480</v>
      </c>
      <c r="M22" s="224">
        <v>148</v>
      </c>
      <c r="N22" s="224">
        <v>151</v>
      </c>
      <c r="O22" s="57">
        <v>20</v>
      </c>
      <c r="P22" s="223">
        <f>N22-M22</f>
        <v>3</v>
      </c>
      <c r="Q22" s="151"/>
      <c r="R22" s="60">
        <f>O22*P22+Q22</f>
        <v>60</v>
      </c>
      <c r="S22" s="61" t="s">
        <v>66</v>
      </c>
      <c r="T22" s="63" t="s">
        <v>35</v>
      </c>
      <c r="U22" s="64"/>
      <c r="V22" s="64"/>
      <c r="W22" s="67">
        <f t="shared" si="0"/>
        <v>752280</v>
      </c>
      <c r="X22" s="81">
        <f>ROUND(I39,0)</f>
        <v>752280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164</v>
      </c>
      <c r="Q23" s="137"/>
      <c r="R23" s="60">
        <f>R19+R21+R22+R20</f>
        <v>730</v>
      </c>
      <c r="S23" s="61" t="s">
        <v>67</v>
      </c>
      <c r="T23" s="63" t="s">
        <v>36</v>
      </c>
      <c r="U23" s="64"/>
      <c r="V23" s="64"/>
      <c r="W23" s="67">
        <f t="shared" si="0"/>
        <v>935358</v>
      </c>
      <c r="X23" s="81">
        <v>0</v>
      </c>
      <c r="Y23" s="70">
        <v>0</v>
      </c>
      <c r="Z23" s="67">
        <f>I26+I25</f>
        <v>935358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.75">
      <c r="A24" s="44" t="s">
        <v>116</v>
      </c>
      <c r="B24" s="46" t="s">
        <v>117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68</v>
      </c>
      <c r="T24" s="64" t="s">
        <v>37</v>
      </c>
      <c r="U24" s="64"/>
      <c r="V24" s="64"/>
      <c r="W24" s="67">
        <f t="shared" si="0"/>
        <v>33805</v>
      </c>
      <c r="X24" s="81">
        <v>0</v>
      </c>
      <c r="Y24" s="70">
        <v>0</v>
      </c>
      <c r="Z24" s="67">
        <f>I41</f>
        <v>33805</v>
      </c>
      <c r="AA24" s="70">
        <v>0</v>
      </c>
      <c r="AB24" s="58"/>
      <c r="AC24" s="47" t="s">
        <v>87</v>
      </c>
      <c r="AD24" s="47"/>
      <c r="AE24" s="47"/>
      <c r="AF24" s="59"/>
      <c r="AG24" s="59"/>
      <c r="AH24" s="59"/>
      <c r="AI24" s="59"/>
      <c r="AJ24" s="59"/>
      <c r="AK24" s="58"/>
      <c r="AL24" s="47" t="s">
        <v>167</v>
      </c>
      <c r="AM24" s="47"/>
      <c r="AN24" s="47"/>
      <c r="AO24" s="59"/>
      <c r="AP24" s="59"/>
      <c r="AQ24" s="59"/>
      <c r="AR24" s="59"/>
      <c r="AS24" s="59"/>
      <c r="AT24" s="152" t="s">
        <v>45</v>
      </c>
      <c r="AU24" s="135"/>
      <c r="AV24" s="135"/>
      <c r="AW24" s="135"/>
      <c r="AX24" s="135"/>
      <c r="AY24" s="153"/>
      <c r="AZ24" s="184"/>
      <c r="BA24" s="177"/>
      <c r="BB24" s="174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.75">
      <c r="A25" s="48" t="s">
        <v>118</v>
      </c>
      <c r="B25" s="48" t="s">
        <v>121</v>
      </c>
      <c r="C25" s="90"/>
      <c r="D25" s="212"/>
      <c r="E25" s="212"/>
      <c r="F25" s="68"/>
      <c r="G25" s="213"/>
      <c r="H25" s="68"/>
      <c r="I25" s="68"/>
      <c r="J25" s="63" t="s">
        <v>165</v>
      </c>
      <c r="K25" s="64"/>
      <c r="L25" s="64"/>
      <c r="M25" s="64"/>
      <c r="N25" s="64"/>
      <c r="O25" s="64"/>
      <c r="P25" s="85"/>
      <c r="Q25" s="128"/>
      <c r="R25" s="141"/>
      <c r="S25" s="61" t="s">
        <v>69</v>
      </c>
      <c r="T25" s="64" t="s">
        <v>38</v>
      </c>
      <c r="U25" s="64"/>
      <c r="V25" s="64"/>
      <c r="W25" s="67">
        <f t="shared" si="0"/>
        <v>195997</v>
      </c>
      <c r="X25" s="81">
        <v>0</v>
      </c>
      <c r="Y25" s="70">
        <v>0</v>
      </c>
      <c r="Z25" s="67">
        <f>I43</f>
        <v>195997</v>
      </c>
      <c r="AA25" s="70">
        <v>0</v>
      </c>
      <c r="AB25" s="58"/>
      <c r="AC25" s="47" t="s">
        <v>270</v>
      </c>
      <c r="AD25" s="47"/>
      <c r="AE25" s="47"/>
      <c r="AF25" s="47"/>
      <c r="AG25" s="47"/>
      <c r="AH25" s="47"/>
      <c r="AI25" s="47"/>
      <c r="AJ25" s="47"/>
      <c r="AK25" s="58"/>
      <c r="AL25" s="47" t="s">
        <v>270</v>
      </c>
      <c r="AM25" s="47"/>
      <c r="AN25" s="47"/>
      <c r="AO25" s="47"/>
      <c r="AP25" s="47"/>
      <c r="AQ25" s="47"/>
      <c r="AR25" s="47"/>
      <c r="AS25" s="47"/>
      <c r="AT25" s="46" t="s">
        <v>82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.75">
      <c r="A26" s="49"/>
      <c r="B26" s="49" t="s">
        <v>119</v>
      </c>
      <c r="C26" s="91">
        <v>109056121</v>
      </c>
      <c r="D26" s="212">
        <v>21907.9202</v>
      </c>
      <c r="E26" s="212">
        <v>22102.7864</v>
      </c>
      <c r="F26" s="68">
        <v>4800</v>
      </c>
      <c r="G26" s="213">
        <f aca="true" t="shared" si="1" ref="G26:G43">E26-D26</f>
        <v>194.8662000000004</v>
      </c>
      <c r="H26" s="68"/>
      <c r="I26" s="68">
        <f>ROUND(F26*G26+H26,0)</f>
        <v>935358</v>
      </c>
      <c r="J26" s="114" t="s">
        <v>290</v>
      </c>
      <c r="K26" s="115"/>
      <c r="L26" s="115"/>
      <c r="M26" s="86"/>
      <c r="N26" s="53"/>
      <c r="O26" s="53"/>
      <c r="P26" s="53"/>
      <c r="Q26" s="53"/>
      <c r="R26" s="102"/>
      <c r="S26" s="62" t="s">
        <v>70</v>
      </c>
      <c r="T26" s="53" t="s">
        <v>39</v>
      </c>
      <c r="U26" s="53"/>
      <c r="V26" s="53"/>
      <c r="W26" s="68">
        <f>SUM(X26:AA26)</f>
        <v>37966</v>
      </c>
      <c r="X26" s="82">
        <v>0</v>
      </c>
      <c r="Y26" s="71">
        <v>0</v>
      </c>
      <c r="Z26" s="68">
        <f>I45+I46</f>
        <v>37966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83</v>
      </c>
      <c r="AU26" s="55"/>
      <c r="AV26" s="55"/>
      <c r="AW26" s="55"/>
      <c r="AX26" s="64"/>
      <c r="AY26" s="65"/>
      <c r="AZ26" s="185">
        <f>(X14+AG14+AP14)/1000</f>
        <v>6249.734</v>
      </c>
      <c r="BA26" s="169">
        <v>16</v>
      </c>
      <c r="BB26" s="174">
        <f>AZ26*BA26</f>
        <v>99995.744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.75">
      <c r="A27" s="48" t="s">
        <v>120</v>
      </c>
      <c r="B27" s="48" t="s">
        <v>132</v>
      </c>
      <c r="C27" s="90">
        <v>623125232</v>
      </c>
      <c r="D27" s="214">
        <v>9240.7087</v>
      </c>
      <c r="E27" s="214">
        <v>9329.3744</v>
      </c>
      <c r="F27" s="75">
        <v>1800</v>
      </c>
      <c r="G27" s="215">
        <f t="shared" si="1"/>
        <v>88.66570000000138</v>
      </c>
      <c r="H27" s="73"/>
      <c r="I27" s="75">
        <f>ROUND(G27*F27,0)</f>
        <v>159598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84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.75">
      <c r="A28" s="49"/>
      <c r="B28" s="49" t="s">
        <v>119</v>
      </c>
      <c r="C28" s="71"/>
      <c r="D28" s="119"/>
      <c r="E28" s="119"/>
      <c r="F28" s="68"/>
      <c r="G28" s="118"/>
      <c r="H28" s="71"/>
      <c r="I28" s="68"/>
      <c r="J28" s="64" t="s">
        <v>168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224</v>
      </c>
      <c r="AC28" s="47"/>
      <c r="AD28" s="47"/>
      <c r="AE28" s="47"/>
      <c r="AF28" s="47"/>
      <c r="AG28" s="47" t="s">
        <v>225</v>
      </c>
      <c r="AH28" s="47"/>
      <c r="AI28" s="47" t="s">
        <v>226</v>
      </c>
      <c r="AJ28" s="47"/>
      <c r="AK28" s="47" t="s">
        <v>224</v>
      </c>
      <c r="AL28" s="47"/>
      <c r="AM28" s="47"/>
      <c r="AN28" s="47"/>
      <c r="AO28" s="47"/>
      <c r="AP28" s="47" t="s">
        <v>56</v>
      </c>
      <c r="AQ28" s="47"/>
      <c r="AR28" s="47" t="s">
        <v>57</v>
      </c>
      <c r="AS28" s="47"/>
      <c r="AT28" s="63" t="s">
        <v>85</v>
      </c>
      <c r="AU28" s="64"/>
      <c r="AV28" s="64"/>
      <c r="AW28" s="64"/>
      <c r="AX28" s="51"/>
      <c r="AY28" s="52"/>
      <c r="AZ28" s="185">
        <f>(Z14+AI14+AR14)/1000</f>
        <v>1294.275</v>
      </c>
      <c r="BA28" s="169">
        <v>16</v>
      </c>
      <c r="BB28" s="174">
        <f>AZ28*BA28</f>
        <v>20708.4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.75">
      <c r="A29" s="48" t="s">
        <v>122</v>
      </c>
      <c r="B29" s="48" t="s">
        <v>133</v>
      </c>
      <c r="C29" s="90">
        <v>623125667</v>
      </c>
      <c r="D29" s="214">
        <v>11581.2405</v>
      </c>
      <c r="E29" s="214">
        <v>11771.9337</v>
      </c>
      <c r="F29" s="75">
        <v>1800</v>
      </c>
      <c r="G29" s="215">
        <f t="shared" si="1"/>
        <v>190.6931999999997</v>
      </c>
      <c r="H29" s="73"/>
      <c r="I29" s="75">
        <f>ROUND(G29*F29,0)</f>
        <v>343248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291</v>
      </c>
      <c r="AC29" s="47"/>
      <c r="AD29" s="47"/>
      <c r="AE29" s="47"/>
      <c r="AF29" s="47"/>
      <c r="AG29" s="47" t="s">
        <v>55</v>
      </c>
      <c r="AH29" s="47"/>
      <c r="AI29" s="47"/>
      <c r="AJ29" s="47"/>
      <c r="AK29" s="47" t="s">
        <v>291</v>
      </c>
      <c r="AL29" s="47"/>
      <c r="AM29" s="47"/>
      <c r="AN29" s="47"/>
      <c r="AO29" s="47"/>
      <c r="AP29" s="47" t="s">
        <v>55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.75">
      <c r="A30" s="49"/>
      <c r="B30" s="49" t="s">
        <v>119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.75">
      <c r="A31" s="48" t="s">
        <v>123</v>
      </c>
      <c r="B31" s="48" t="s">
        <v>134</v>
      </c>
      <c r="C31" s="90">
        <v>623126370</v>
      </c>
      <c r="D31" s="214">
        <v>3065.8395</v>
      </c>
      <c r="E31" s="214">
        <v>3116.1875</v>
      </c>
      <c r="F31" s="75">
        <v>4800</v>
      </c>
      <c r="G31" s="215">
        <f t="shared" si="1"/>
        <v>50.347999999999956</v>
      </c>
      <c r="H31" s="73"/>
      <c r="I31" s="234">
        <f>ROUND(G31*F31,0)+1</f>
        <v>241671</v>
      </c>
      <c r="J31" s="64"/>
      <c r="K31" s="64"/>
      <c r="L31" s="154"/>
      <c r="M31" s="78"/>
      <c r="N31" s="155" t="s">
        <v>169</v>
      </c>
      <c r="O31" s="155"/>
      <c r="P31" s="83"/>
      <c r="Q31" s="64"/>
      <c r="R31" s="85"/>
      <c r="S31" s="47" t="s">
        <v>224</v>
      </c>
      <c r="T31" s="47"/>
      <c r="U31" s="47"/>
      <c r="V31" s="47"/>
      <c r="W31" s="47"/>
      <c r="X31" s="47" t="s">
        <v>225</v>
      </c>
      <c r="Y31" s="47"/>
      <c r="Z31" s="47" t="s">
        <v>226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.75">
      <c r="A32" s="49"/>
      <c r="B32" s="49" t="s">
        <v>119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266</v>
      </c>
      <c r="O32" s="155"/>
      <c r="P32" s="83"/>
      <c r="Q32" s="64"/>
      <c r="R32" s="85"/>
      <c r="S32" s="47" t="s">
        <v>291</v>
      </c>
      <c r="T32" s="47"/>
      <c r="U32" s="47"/>
      <c r="V32" s="47"/>
      <c r="W32" s="47"/>
      <c r="X32" s="47" t="s">
        <v>55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222</v>
      </c>
      <c r="AU32" s="51"/>
      <c r="AV32" s="51"/>
      <c r="AW32" s="51"/>
      <c r="AX32" s="51"/>
      <c r="AY32" s="52"/>
      <c r="AZ32" s="170"/>
      <c r="BA32" s="187"/>
      <c r="BB32" s="169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.75">
      <c r="A33" s="48" t="s">
        <v>124</v>
      </c>
      <c r="B33" s="48" t="s">
        <v>135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291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54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220</v>
      </c>
      <c r="AU33" s="51"/>
      <c r="AV33" s="51"/>
      <c r="AW33" s="51"/>
      <c r="AX33" s="51"/>
      <c r="AY33" s="52"/>
      <c r="AZ33" s="170"/>
      <c r="BA33" s="177"/>
      <c r="BB33" s="169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.75">
      <c r="A34" s="49"/>
      <c r="B34" s="49" t="s">
        <v>119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54</v>
      </c>
      <c r="AL34" s="47"/>
      <c r="AM34" s="47"/>
      <c r="AN34" s="47"/>
      <c r="AO34" s="47"/>
      <c r="AP34" s="47"/>
      <c r="AQ34" s="47"/>
      <c r="AR34" s="47"/>
      <c r="AS34" s="47"/>
      <c r="AT34" s="50" t="s">
        <v>223</v>
      </c>
      <c r="AU34" s="51"/>
      <c r="AV34" s="51"/>
      <c r="AW34" s="51"/>
      <c r="AX34" s="51"/>
      <c r="AY34" s="52"/>
      <c r="AZ34" s="170"/>
      <c r="BA34" s="182"/>
      <c r="BB34" s="169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.75">
      <c r="A35" s="48" t="s">
        <v>125</v>
      </c>
      <c r="B35" s="48" t="s">
        <v>136</v>
      </c>
      <c r="C35" s="90">
        <v>623125142</v>
      </c>
      <c r="D35" s="214">
        <v>15137.44</v>
      </c>
      <c r="E35" s="214">
        <v>15436.6586</v>
      </c>
      <c r="F35" s="75">
        <v>2400</v>
      </c>
      <c r="G35" s="215">
        <f t="shared" si="1"/>
        <v>299.21860000000015</v>
      </c>
      <c r="H35" s="73"/>
      <c r="I35" s="234">
        <f>ROUND(G35*F35,0)-1</f>
        <v>718124</v>
      </c>
      <c r="J35" s="64"/>
      <c r="K35" s="64"/>
      <c r="L35" s="154"/>
      <c r="M35" s="78"/>
      <c r="N35" s="156" t="s">
        <v>171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71</v>
      </c>
      <c r="AC35" s="47"/>
      <c r="AD35" s="47"/>
      <c r="AE35" s="47"/>
      <c r="AF35" s="47"/>
      <c r="AG35" s="47" t="s">
        <v>41</v>
      </c>
      <c r="AH35" s="47"/>
      <c r="AI35" s="47" t="s">
        <v>40</v>
      </c>
      <c r="AJ35" s="47"/>
      <c r="AK35" s="47" t="s">
        <v>227</v>
      </c>
      <c r="AL35" s="47"/>
      <c r="AM35" s="47"/>
      <c r="AN35" s="47"/>
      <c r="AO35" s="47"/>
      <c r="AP35" s="47"/>
      <c r="AQ35" s="47" t="s">
        <v>228</v>
      </c>
      <c r="AR35" s="47"/>
      <c r="AS35" s="47"/>
      <c r="AT35" s="50" t="s">
        <v>220</v>
      </c>
      <c r="AU35" s="51"/>
      <c r="AV35" s="51"/>
      <c r="AW35" s="51"/>
      <c r="AX35" s="51"/>
      <c r="AY35" s="52"/>
      <c r="AZ35" s="170"/>
      <c r="BA35" s="182"/>
      <c r="BB35" s="169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.75">
      <c r="A36" s="49"/>
      <c r="B36" s="49" t="s">
        <v>119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170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86</v>
      </c>
      <c r="AC36" s="47"/>
      <c r="AD36" s="47"/>
      <c r="AE36" s="47"/>
      <c r="AF36" s="47"/>
      <c r="AG36" s="47" t="s">
        <v>55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55</v>
      </c>
      <c r="AR36" s="47"/>
      <c r="AS36" s="47"/>
      <c r="AT36" s="50" t="s">
        <v>220</v>
      </c>
      <c r="AU36" s="51"/>
      <c r="AV36" s="51"/>
      <c r="AW36" s="51"/>
      <c r="AX36" s="51"/>
      <c r="AY36" s="52"/>
      <c r="AZ36" s="170"/>
      <c r="BA36" s="182"/>
      <c r="BB36" s="169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.75">
      <c r="A37" s="48" t="s">
        <v>126</v>
      </c>
      <c r="B37" s="48" t="s">
        <v>137</v>
      </c>
      <c r="C37" s="90">
        <v>623125205</v>
      </c>
      <c r="D37" s="214">
        <v>5525.6932</v>
      </c>
      <c r="E37" s="214">
        <v>5641.6621</v>
      </c>
      <c r="F37" s="75">
        <v>1800</v>
      </c>
      <c r="G37" s="215">
        <f t="shared" si="1"/>
        <v>115.96889999999985</v>
      </c>
      <c r="H37" s="73"/>
      <c r="I37" s="75">
        <f>ROUND(G37*F37,0)</f>
        <v>208744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286</v>
      </c>
      <c r="T37" s="47"/>
      <c r="U37" s="47"/>
      <c r="V37" s="47"/>
      <c r="W37" s="47"/>
      <c r="X37" s="47" t="s">
        <v>225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185</v>
      </c>
      <c r="AU37" s="51"/>
      <c r="AV37" s="51"/>
      <c r="AW37" s="51"/>
      <c r="AX37" s="51"/>
      <c r="AY37" s="52"/>
      <c r="AZ37" s="170"/>
      <c r="BA37" s="177"/>
      <c r="BB37" s="169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.75">
      <c r="A38" s="49"/>
      <c r="B38" s="49" t="s">
        <v>119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55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220</v>
      </c>
      <c r="AU38" s="51"/>
      <c r="AV38" s="51" t="s">
        <v>25</v>
      </c>
      <c r="AW38" s="51"/>
      <c r="AX38" s="51"/>
      <c r="AY38" s="52"/>
      <c r="AZ38" s="170"/>
      <c r="BA38" s="182"/>
      <c r="BB38" s="169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.75">
      <c r="A39" s="48" t="s">
        <v>127</v>
      </c>
      <c r="B39" s="48" t="s">
        <v>138</v>
      </c>
      <c r="C39" s="90">
        <v>623123704</v>
      </c>
      <c r="D39" s="214">
        <v>9541.1426</v>
      </c>
      <c r="E39" s="214">
        <v>9959.0758</v>
      </c>
      <c r="F39" s="75">
        <v>1800</v>
      </c>
      <c r="G39" s="215">
        <f t="shared" si="1"/>
        <v>417.9332000000013</v>
      </c>
      <c r="H39" s="73"/>
      <c r="I39" s="75">
        <f>ROUND(G39*F39,0)</f>
        <v>752280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221</v>
      </c>
      <c r="AU39" s="51"/>
      <c r="AV39" s="51" t="s">
        <v>218</v>
      </c>
      <c r="AW39" s="51"/>
      <c r="AX39" s="51"/>
      <c r="AY39" s="52"/>
      <c r="AZ39" s="170"/>
      <c r="BA39" s="182"/>
      <c r="BB39" s="16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.75">
      <c r="A40" s="49"/>
      <c r="B40" s="49" t="s">
        <v>119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.75">
      <c r="A41" s="48" t="s">
        <v>128</v>
      </c>
      <c r="B41" s="48" t="s">
        <v>139</v>
      </c>
      <c r="C41" s="90">
        <v>623125794</v>
      </c>
      <c r="D41" s="214">
        <v>213.2032</v>
      </c>
      <c r="E41" s="214">
        <v>231.9842</v>
      </c>
      <c r="F41" s="75">
        <v>1800</v>
      </c>
      <c r="G41" s="215">
        <f t="shared" si="1"/>
        <v>18.780999999999977</v>
      </c>
      <c r="H41" s="73"/>
      <c r="I41" s="234">
        <f>ROUND(G41*F41,0)-1</f>
        <v>33805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.75">
      <c r="A42" s="49"/>
      <c r="B42" s="49" t="s">
        <v>119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.75">
      <c r="A43" s="48" t="s">
        <v>129</v>
      </c>
      <c r="B43" s="48" t="s">
        <v>140</v>
      </c>
      <c r="C43" s="90">
        <v>623125736</v>
      </c>
      <c r="D43" s="214">
        <v>4940.4842</v>
      </c>
      <c r="E43" s="214">
        <v>5103.8156</v>
      </c>
      <c r="F43" s="75">
        <v>1200</v>
      </c>
      <c r="G43" s="215">
        <f t="shared" si="1"/>
        <v>163.33140000000003</v>
      </c>
      <c r="H43" s="73"/>
      <c r="I43" s="234">
        <f>ROUND(G43*F43,0)-1</f>
        <v>195997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185</v>
      </c>
      <c r="AU43" s="51"/>
      <c r="AV43" s="51"/>
      <c r="AW43" s="51"/>
      <c r="AX43" s="51"/>
      <c r="AY43" s="52"/>
      <c r="AZ43" s="170"/>
      <c r="BA43" s="182"/>
      <c r="BB43" s="169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.75">
      <c r="A44" s="49"/>
      <c r="B44" s="49" t="s">
        <v>119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.75">
      <c r="A45" s="48" t="s">
        <v>130</v>
      </c>
      <c r="B45" s="50" t="s">
        <v>131</v>
      </c>
      <c r="C45" s="90">
        <v>1110171156</v>
      </c>
      <c r="D45" s="214">
        <v>15848.114</v>
      </c>
      <c r="E45" s="214">
        <v>16797.2544</v>
      </c>
      <c r="F45" s="75">
        <v>40</v>
      </c>
      <c r="G45" s="215">
        <f>E45-D45</f>
        <v>949.140400000002</v>
      </c>
      <c r="H45" s="73"/>
      <c r="I45" s="75">
        <f>ROUND(G45*F45,0)</f>
        <v>37966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.75">
      <c r="A46" s="49"/>
      <c r="B46" s="46" t="s">
        <v>119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189</v>
      </c>
      <c r="AW46" s="51"/>
      <c r="AX46" s="51"/>
      <c r="AY46" s="52"/>
      <c r="AZ46" s="170"/>
      <c r="BA46" s="187"/>
      <c r="BB46" s="169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.75">
      <c r="A47" s="94"/>
      <c r="B47" s="55"/>
      <c r="C47" s="86"/>
      <c r="D47" s="92"/>
      <c r="E47" s="93"/>
      <c r="F47" s="93"/>
      <c r="G47" s="108" t="s">
        <v>141</v>
      </c>
      <c r="H47" s="56"/>
      <c r="I47" s="125">
        <f>ROUND((SUM(I25:I46)+I20),0)</f>
        <v>7267983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.75">
      <c r="A48" s="48" t="s">
        <v>144</v>
      </c>
      <c r="B48" s="50" t="s">
        <v>142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.75">
      <c r="A49" s="74"/>
      <c r="B49" s="63" t="s">
        <v>143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189</v>
      </c>
      <c r="AW49" s="51"/>
      <c r="AX49" s="51"/>
      <c r="AY49" s="52"/>
      <c r="AZ49" s="170"/>
      <c r="BA49" s="182"/>
      <c r="BB49" s="169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.75">
      <c r="A50" s="50" t="s">
        <v>145</v>
      </c>
      <c r="B50" s="48" t="s">
        <v>235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271</v>
      </c>
      <c r="AW50" s="55"/>
      <c r="AX50" s="55"/>
      <c r="AY50" s="56"/>
      <c r="AZ50" s="170"/>
      <c r="BA50" s="182"/>
      <c r="BB50" s="169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.75">
      <c r="A51" s="63"/>
      <c r="B51" s="74"/>
      <c r="C51" s="194">
        <v>611127627</v>
      </c>
      <c r="D51" s="191">
        <v>6392.6036</v>
      </c>
      <c r="E51" s="191">
        <v>6433.2412</v>
      </c>
      <c r="F51" s="60">
        <v>40</v>
      </c>
      <c r="G51" s="142">
        <f>E51-D51</f>
        <v>40.63760000000002</v>
      </c>
      <c r="H51" s="60"/>
      <c r="I51" s="60">
        <f>ROUND(F51*G51+H51,0)</f>
        <v>1626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.75">
      <c r="A52" s="63"/>
      <c r="B52" s="49" t="s">
        <v>231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.75">
      <c r="A53" s="48" t="s">
        <v>148</v>
      </c>
      <c r="B53" s="65"/>
      <c r="C53" s="106">
        <v>810120245</v>
      </c>
      <c r="D53" s="191">
        <v>3787.8249</v>
      </c>
      <c r="E53" s="191">
        <v>3796.3542</v>
      </c>
      <c r="F53" s="60">
        <v>3600</v>
      </c>
      <c r="G53" s="142">
        <f>E53-D53</f>
        <v>8.529300000000148</v>
      </c>
      <c r="H53" s="60"/>
      <c r="I53" s="60">
        <f>ROUND(F53*G53+H53,0)</f>
        <v>30705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300</v>
      </c>
      <c r="AU53" s="47"/>
      <c r="AV53" s="47"/>
      <c r="AW53" s="47"/>
      <c r="AX53" s="47"/>
      <c r="AY53" s="47"/>
      <c r="AZ53" s="47"/>
      <c r="BA53" s="47"/>
      <c r="BB53" s="47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.75">
      <c r="A54" s="74"/>
      <c r="B54" s="65" t="s">
        <v>245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.75">
      <c r="A55" s="74"/>
      <c r="B55" s="65"/>
      <c r="C55" s="103">
        <v>4050284</v>
      </c>
      <c r="D55" s="121">
        <v>4477.0814</v>
      </c>
      <c r="E55" s="121">
        <v>4519.9157</v>
      </c>
      <c r="F55" s="60">
        <v>3600</v>
      </c>
      <c r="G55" s="143">
        <f>E55-D55</f>
        <v>42.83429999999953</v>
      </c>
      <c r="H55" s="44"/>
      <c r="I55" s="233">
        <f>ROUND(F55*G55+H55,0)+1</f>
        <v>154204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.75">
      <c r="A57" s="74" t="s">
        <v>149</v>
      </c>
      <c r="B57" s="48" t="s">
        <v>115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.75">
      <c r="A58" s="196"/>
      <c r="B58" s="74" t="s">
        <v>114</v>
      </c>
      <c r="C58" s="194">
        <v>611127492</v>
      </c>
      <c r="D58" s="191">
        <v>22001.1852</v>
      </c>
      <c r="E58" s="191">
        <v>22387.8612</v>
      </c>
      <c r="F58" s="60">
        <v>20</v>
      </c>
      <c r="G58" s="142">
        <f>E58-D58</f>
        <v>386.6759999999995</v>
      </c>
      <c r="H58" s="60"/>
      <c r="I58" s="60">
        <f>ROUND(F58*G58+H58,0)</f>
        <v>7734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49</v>
      </c>
      <c r="AW58" s="47"/>
      <c r="AX58" s="47"/>
      <c r="AY58" s="47"/>
      <c r="AZ58" s="47"/>
      <c r="BA58" s="47"/>
      <c r="BB58" s="162">
        <f>BA9</f>
        <v>3.912419873263983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.75">
      <c r="A59" s="50" t="s">
        <v>150</v>
      </c>
      <c r="B59" s="48" t="s">
        <v>236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.75">
      <c r="A60" s="197"/>
      <c r="B60" s="70" t="s">
        <v>281</v>
      </c>
      <c r="C60" s="194">
        <v>611127702</v>
      </c>
      <c r="D60" s="191">
        <v>32773.7248</v>
      </c>
      <c r="E60" s="191">
        <v>32973.3996</v>
      </c>
      <c r="F60" s="60">
        <v>60</v>
      </c>
      <c r="G60" s="142">
        <f>E60-D60</f>
        <v>199.6747999999934</v>
      </c>
      <c r="H60" s="44"/>
      <c r="I60" s="233">
        <f>ROUND(F60*G60+H60,0)+1</f>
        <v>11981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3.5">
      <c r="A61" s="63"/>
      <c r="B61" s="70" t="s">
        <v>282</v>
      </c>
      <c r="C61" s="194">
        <v>611127555</v>
      </c>
      <c r="D61" s="191">
        <v>12791.754</v>
      </c>
      <c r="E61" s="191">
        <v>13652.6292</v>
      </c>
      <c r="F61" s="60">
        <v>60</v>
      </c>
      <c r="G61" s="142">
        <f>E61-D61</f>
        <v>860.8751999999986</v>
      </c>
      <c r="H61" s="44"/>
      <c r="I61" s="233">
        <f>ROUND(F61*G61+H61,0)-1</f>
        <v>51652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.75">
      <c r="A62" s="50" t="s">
        <v>151</v>
      </c>
      <c r="B62" s="48" t="s">
        <v>237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.75">
      <c r="A63" s="197"/>
      <c r="B63" s="74"/>
      <c r="C63" s="194">
        <v>1110171163</v>
      </c>
      <c r="D63" s="191">
        <v>1311.4876</v>
      </c>
      <c r="E63" s="191">
        <v>1348.5596</v>
      </c>
      <c r="F63" s="60">
        <v>60</v>
      </c>
      <c r="G63" s="142">
        <f>E63-D63</f>
        <v>37.072000000000116</v>
      </c>
      <c r="H63" s="44"/>
      <c r="I63" s="60">
        <f>ROUND(F63*G63+H63,0)</f>
        <v>2224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.75">
      <c r="A65" s="50" t="s">
        <v>152</v>
      </c>
      <c r="B65" s="48" t="s">
        <v>238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.75">
      <c r="A66" s="63"/>
      <c r="B66" s="74"/>
      <c r="C66" s="194">
        <v>1110171170</v>
      </c>
      <c r="D66" s="191">
        <v>204.032</v>
      </c>
      <c r="E66" s="191">
        <v>209.7008</v>
      </c>
      <c r="F66" s="60">
        <v>40</v>
      </c>
      <c r="G66" s="142">
        <f>E66-D66</f>
        <v>5.668799999999976</v>
      </c>
      <c r="H66" s="60"/>
      <c r="I66" s="60">
        <f>ROUND(F66*G66+H66,0)</f>
        <v>227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.75">
      <c r="A68" s="50" t="s">
        <v>153</v>
      </c>
      <c r="B68" s="48" t="s">
        <v>283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3.5">
      <c r="A69" s="63"/>
      <c r="B69" s="74" t="s">
        <v>284</v>
      </c>
      <c r="C69" s="194">
        <v>611126404</v>
      </c>
      <c r="D69" s="191">
        <v>613.8931</v>
      </c>
      <c r="E69" s="191">
        <v>622.6223</v>
      </c>
      <c r="F69" s="60">
        <v>1800</v>
      </c>
      <c r="G69" s="142">
        <f>E69-D69</f>
        <v>8.729199999999992</v>
      </c>
      <c r="H69" s="60"/>
      <c r="I69" s="233">
        <f>ROUND((F69*G69+H69),0)-1</f>
        <v>15712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.75">
      <c r="A70" s="46"/>
      <c r="B70" s="49" t="s">
        <v>247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.75">
      <c r="A71" s="63" t="s">
        <v>233</v>
      </c>
      <c r="B71" s="74" t="s">
        <v>239</v>
      </c>
      <c r="C71" s="194">
        <v>611127724</v>
      </c>
      <c r="D71" s="191">
        <v>2024.2372</v>
      </c>
      <c r="E71" s="191">
        <v>2053.69</v>
      </c>
      <c r="F71" s="60">
        <v>30</v>
      </c>
      <c r="G71" s="142">
        <f>E71-D71</f>
        <v>29.452800000000025</v>
      </c>
      <c r="H71" s="60"/>
      <c r="I71" s="60">
        <f>ROUND(F71*G71+H71,0)</f>
        <v>884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.75">
      <c r="A72" s="46"/>
      <c r="B72" s="74" t="s">
        <v>277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.75">
      <c r="A74" s="46"/>
      <c r="B74" s="53"/>
      <c r="C74" s="55"/>
      <c r="D74" s="55"/>
      <c r="E74" s="55"/>
      <c r="F74" s="55" t="s">
        <v>154</v>
      </c>
      <c r="G74" s="55"/>
      <c r="H74" s="56"/>
      <c r="I74" s="125">
        <f>ROUND((SUM(I50:I69)-I73),0)</f>
        <v>276065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.75">
      <c r="A75" s="45"/>
      <c r="B75" s="55"/>
      <c r="C75" s="55"/>
      <c r="D75" s="55"/>
      <c r="E75" s="55"/>
      <c r="F75" s="55"/>
      <c r="G75" s="55" t="s">
        <v>155</v>
      </c>
      <c r="H75" s="56"/>
      <c r="I75" s="125">
        <f>ROUND((I18+I20-I47-I74),0)</f>
        <v>5903418</v>
      </c>
      <c r="J75" s="64"/>
      <c r="K75" s="64">
        <f>I18+I20+I22-I47-I74</f>
        <v>5981538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.75">
      <c r="A76" s="44" t="s">
        <v>162</v>
      </c>
      <c r="B76" s="45" t="s">
        <v>156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.75">
      <c r="A77" s="48" t="s">
        <v>160</v>
      </c>
      <c r="B77" s="48" t="s">
        <v>157</v>
      </c>
      <c r="C77" s="73">
        <v>18705639</v>
      </c>
      <c r="D77" s="124">
        <v>19477</v>
      </c>
      <c r="E77" s="124">
        <v>19770</v>
      </c>
      <c r="F77" s="75">
        <v>30</v>
      </c>
      <c r="G77" s="211">
        <f>E77-D77</f>
        <v>293</v>
      </c>
      <c r="H77" s="48">
        <v>1186</v>
      </c>
      <c r="I77" s="75">
        <f>F77*G77+H77</f>
        <v>9976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.75">
      <c r="A78" s="49"/>
      <c r="B78" s="49" t="s">
        <v>158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.75">
      <c r="A79" s="48" t="s">
        <v>161</v>
      </c>
      <c r="B79" s="48" t="s">
        <v>159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.75">
      <c r="A80" s="49"/>
      <c r="B80" s="49" t="s">
        <v>158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.75">
      <c r="A81" s="45"/>
      <c r="B81" s="55"/>
      <c r="C81" s="109"/>
      <c r="D81" s="92"/>
      <c r="E81" s="110"/>
      <c r="F81" s="110" t="s">
        <v>163</v>
      </c>
      <c r="G81" s="111"/>
      <c r="H81" s="56"/>
      <c r="I81" s="60">
        <f>I77+I79</f>
        <v>9976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.75">
      <c r="A82" s="45"/>
      <c r="B82" s="55"/>
      <c r="C82" s="109"/>
      <c r="D82" s="92"/>
      <c r="E82" s="110"/>
      <c r="F82" s="110"/>
      <c r="G82" s="111" t="s">
        <v>164</v>
      </c>
      <c r="H82" s="56"/>
      <c r="I82" s="125">
        <f>I75+I81</f>
        <v>5913394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.75">
      <c r="A83" s="50" t="s">
        <v>165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.75">
      <c r="A84" s="114" t="s">
        <v>290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.75">
      <c r="A85" s="64" t="s">
        <v>168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.75">
      <c r="A86" s="64"/>
      <c r="B86" s="64"/>
      <c r="C86" s="78"/>
      <c r="D86" s="202" t="s">
        <v>169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.75">
      <c r="A87" s="64"/>
      <c r="B87" s="64"/>
      <c r="C87" s="78"/>
      <c r="D87" s="202" t="s">
        <v>268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.75">
      <c r="A88" s="64"/>
      <c r="B88" s="64"/>
      <c r="C88" s="154"/>
      <c r="D88" s="202" t="s">
        <v>291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.75">
      <c r="A89" s="47"/>
      <c r="B89" s="47"/>
      <c r="C89" s="47"/>
      <c r="D89" s="47" t="s">
        <v>90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267</v>
      </c>
      <c r="AU89" s="47"/>
      <c r="AV89" s="47"/>
      <c r="AW89" s="47"/>
      <c r="AX89" s="47"/>
      <c r="AY89" s="47"/>
      <c r="AZ89" s="47"/>
      <c r="BA89" s="47"/>
      <c r="BB89" s="47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.75">
      <c r="A90" s="47"/>
      <c r="B90" s="47"/>
      <c r="C90" s="47"/>
      <c r="D90" s="47" t="s">
        <v>91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272</v>
      </c>
      <c r="AU90" s="47"/>
      <c r="AV90" s="47"/>
      <c r="AW90" s="47"/>
      <c r="AX90" s="47"/>
      <c r="AY90" s="47"/>
      <c r="AZ90" s="47"/>
      <c r="BA90" s="47"/>
      <c r="BB90" s="47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10</v>
      </c>
      <c r="AZ91" s="89" t="s">
        <v>295</v>
      </c>
      <c r="BA91" s="47"/>
      <c r="BB91" s="47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.75">
      <c r="A92" s="47"/>
      <c r="B92" s="47"/>
      <c r="C92" s="47" t="s">
        <v>92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26</v>
      </c>
      <c r="AU92" s="55"/>
      <c r="AV92" s="55"/>
      <c r="AW92" s="55"/>
      <c r="AX92" s="55"/>
      <c r="AY92" s="56"/>
      <c r="AZ92" s="44" t="s">
        <v>75</v>
      </c>
      <c r="BA92" s="44"/>
      <c r="BB92" s="44" t="s">
        <v>27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.75">
      <c r="A93" s="47"/>
      <c r="B93" s="47"/>
      <c r="C93" s="47"/>
      <c r="D93" s="167" t="s">
        <v>297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182</v>
      </c>
      <c r="AU93" s="55"/>
      <c r="AV93" s="55"/>
      <c r="AW93" s="55"/>
      <c r="AX93" s="55"/>
      <c r="AY93" s="56"/>
      <c r="AZ93" s="125">
        <v>76795</v>
      </c>
      <c r="BA93" s="92"/>
      <c r="BB93" s="188">
        <f>AZ93*BB58</f>
        <v>300454.2841673076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.75">
      <c r="A94" s="47" t="s">
        <v>265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181</v>
      </c>
      <c r="AU94" s="55"/>
      <c r="AV94" s="55"/>
      <c r="AW94" s="55"/>
      <c r="AX94" s="55"/>
      <c r="AY94" s="56"/>
      <c r="AZ94" s="125">
        <f>AZ131-SUM(AZ112:AZ120)-AZ109-AZ103-AZ96-AZ95-AZ93</f>
        <v>4342819</v>
      </c>
      <c r="BA94" s="92"/>
      <c r="BB94" s="188">
        <f>AZ94*BB58</f>
        <v>16990931.36158842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.75">
      <c r="A95" s="47" t="s">
        <v>93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274</v>
      </c>
      <c r="AU95" s="55"/>
      <c r="AV95" s="55"/>
      <c r="AW95" s="55"/>
      <c r="AX95" s="55"/>
      <c r="AY95" s="56"/>
      <c r="AZ95" s="125">
        <v>76460</v>
      </c>
      <c r="BA95" s="92"/>
      <c r="BB95" s="188">
        <f>AZ95*BB58</f>
        <v>299143.62350976415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.75">
      <c r="A96" s="47" t="s">
        <v>95</v>
      </c>
      <c r="B96" s="47"/>
      <c r="C96" s="47"/>
      <c r="D96" s="47"/>
      <c r="E96" s="47"/>
      <c r="F96" s="47" t="s">
        <v>94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17</v>
      </c>
      <c r="AU96" s="51"/>
      <c r="AV96" s="51"/>
      <c r="AW96" s="51"/>
      <c r="AX96" s="51"/>
      <c r="AY96" s="52"/>
      <c r="AZ96" s="189">
        <f>SUM(AZ97:AZ102)</f>
        <v>1040489</v>
      </c>
      <c r="BA96" s="95"/>
      <c r="BB96" s="188">
        <f>AZ96*BB58</f>
        <v>4070829.8415125688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.75">
      <c r="A97" s="48" t="s">
        <v>190</v>
      </c>
      <c r="B97" s="73" t="s">
        <v>96</v>
      </c>
      <c r="C97" s="48" t="s">
        <v>97</v>
      </c>
      <c r="D97" s="116" t="s">
        <v>172</v>
      </c>
      <c r="E97" s="117"/>
      <c r="F97" s="48" t="s">
        <v>98</v>
      </c>
      <c r="G97" s="48" t="s">
        <v>213</v>
      </c>
      <c r="H97" s="48" t="s">
        <v>99</v>
      </c>
      <c r="I97" s="48" t="s">
        <v>89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18</v>
      </c>
      <c r="AU97" s="64"/>
      <c r="AV97" s="64"/>
      <c r="AW97" s="64"/>
      <c r="AX97" s="64"/>
      <c r="AY97" s="65"/>
      <c r="AZ97" s="67">
        <v>323270</v>
      </c>
      <c r="BA97" s="78"/>
      <c r="BB97" s="188">
        <f>AZ97*BB58</f>
        <v>1264767.9724300478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.75">
      <c r="A98" s="74"/>
      <c r="B98" s="74"/>
      <c r="C98" s="74"/>
      <c r="D98" s="48" t="s">
        <v>100</v>
      </c>
      <c r="E98" s="50" t="s">
        <v>101</v>
      </c>
      <c r="F98" s="74" t="s">
        <v>102</v>
      </c>
      <c r="G98" s="74" t="s">
        <v>88</v>
      </c>
      <c r="H98" s="74"/>
      <c r="I98" s="74" t="s">
        <v>103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19</v>
      </c>
      <c r="AU98" s="64"/>
      <c r="AV98" s="64"/>
      <c r="AW98" s="64"/>
      <c r="AX98" s="64"/>
      <c r="AY98" s="65"/>
      <c r="AZ98" s="67">
        <v>591253</v>
      </c>
      <c r="BA98" s="78"/>
      <c r="BB98" s="188">
        <f>AZ98*BB58</f>
        <v>2313229.98732695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.75">
      <c r="A99" s="49"/>
      <c r="B99" s="49"/>
      <c r="C99" s="49"/>
      <c r="D99" s="49" t="s">
        <v>104</v>
      </c>
      <c r="E99" s="46" t="s">
        <v>104</v>
      </c>
      <c r="F99" s="49" t="s">
        <v>105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20</v>
      </c>
      <c r="AU99" s="64"/>
      <c r="AV99" s="64"/>
      <c r="AW99" s="64"/>
      <c r="AX99" s="64"/>
      <c r="AY99" s="65"/>
      <c r="AZ99" s="67">
        <v>121496</v>
      </c>
      <c r="BA99" s="78"/>
      <c r="BB99" s="188">
        <f>AZ99*BB58</f>
        <v>475343.3649220809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21</v>
      </c>
      <c r="AU100" s="64"/>
      <c r="AV100" s="64"/>
      <c r="AW100" s="64"/>
      <c r="AX100" s="64"/>
      <c r="AY100" s="65"/>
      <c r="AZ100" s="67">
        <v>350</v>
      </c>
      <c r="BA100" s="78"/>
      <c r="BB100" s="188">
        <f>AZ100*BB58</f>
        <v>1369.346955642394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.75">
      <c r="A101" s="46"/>
      <c r="B101" s="53"/>
      <c r="C101" s="209" t="s">
        <v>173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22</v>
      </c>
      <c r="AU101" s="64"/>
      <c r="AV101" s="64"/>
      <c r="AW101" s="64"/>
      <c r="AX101" s="64"/>
      <c r="AY101" s="65"/>
      <c r="AZ101" s="67">
        <v>3120</v>
      </c>
      <c r="BA101" s="78"/>
      <c r="BB101" s="188">
        <f>AZ101*BB58</f>
        <v>12206.750004583628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.75">
      <c r="A102" s="44"/>
      <c r="B102" s="45" t="s">
        <v>264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3912.4198732639834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.75">
      <c r="A103" s="73">
        <v>1</v>
      </c>
      <c r="B103" s="48" t="s">
        <v>146</v>
      </c>
      <c r="C103" s="90">
        <v>804152757</v>
      </c>
      <c r="D103" s="121">
        <v>2560.7495</v>
      </c>
      <c r="E103" s="121">
        <v>2611.0181</v>
      </c>
      <c r="F103" s="60">
        <v>36000</v>
      </c>
      <c r="G103" s="142">
        <f>E103-D103</f>
        <v>50.26859999999988</v>
      </c>
      <c r="H103" s="44"/>
      <c r="I103" s="60">
        <f>F103*G103+H103</f>
        <v>1809669.5999999957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183</v>
      </c>
      <c r="AU103" s="51"/>
      <c r="AV103" s="51"/>
      <c r="AW103" s="51"/>
      <c r="AX103" s="51"/>
      <c r="AY103" s="52"/>
      <c r="AZ103" s="189">
        <f>SUM(AZ104:AZ108)</f>
        <v>12520</v>
      </c>
      <c r="BA103" s="95"/>
      <c r="BB103" s="188">
        <f>AZ103*BB58</f>
        <v>48983.49681326507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.75">
      <c r="A104" s="49"/>
      <c r="B104" s="46" t="s">
        <v>147</v>
      </c>
      <c r="C104" s="106">
        <v>109054169</v>
      </c>
      <c r="D104" s="121">
        <v>3143.3106</v>
      </c>
      <c r="E104" s="121">
        <v>3194.7625</v>
      </c>
      <c r="F104" s="60">
        <v>36000</v>
      </c>
      <c r="G104" s="142">
        <f>E104-D104</f>
        <v>51.45190000000002</v>
      </c>
      <c r="H104" s="44"/>
      <c r="I104" s="60">
        <f>F104*G104+H104</f>
        <v>1852268.4000000008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208</v>
      </c>
      <c r="AV104" s="64"/>
      <c r="AW104" s="64"/>
      <c r="AX104" s="64"/>
      <c r="AY104" s="65"/>
      <c r="AZ104" s="67">
        <v>1920</v>
      </c>
      <c r="BA104" s="78"/>
      <c r="BB104" s="188">
        <f>AZ104*BB58</f>
        <v>7511.8461566668475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.75">
      <c r="A105" s="45"/>
      <c r="B105" s="55"/>
      <c r="C105" s="53"/>
      <c r="D105" s="55"/>
      <c r="E105" s="55"/>
      <c r="F105" s="107" t="s">
        <v>109</v>
      </c>
      <c r="G105" s="55"/>
      <c r="H105" s="56"/>
      <c r="I105" s="60">
        <f>I103+I104</f>
        <v>3661937.9999999963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204</v>
      </c>
      <c r="AU105" s="64"/>
      <c r="AV105" s="64" t="s">
        <v>184</v>
      </c>
      <c r="AW105" s="64"/>
      <c r="AX105" s="64"/>
      <c r="AY105" s="65"/>
      <c r="AZ105" s="67">
        <v>4560</v>
      </c>
      <c r="BA105" s="78"/>
      <c r="BB105" s="188">
        <f>AZ105*BB58</f>
        <v>17840.634622083762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.75">
      <c r="A106" s="44" t="s">
        <v>110</v>
      </c>
      <c r="B106" s="45" t="s">
        <v>111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204</v>
      </c>
      <c r="AU106" s="64"/>
      <c r="AV106" s="64" t="s">
        <v>209</v>
      </c>
      <c r="AW106" s="64"/>
      <c r="AX106" s="64"/>
      <c r="AY106" s="65"/>
      <c r="AZ106" s="67">
        <v>0</v>
      </c>
      <c r="BA106" s="78"/>
      <c r="BB106" s="188">
        <f>AZ106*BB58</f>
        <v>0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.75">
      <c r="A107" s="44" t="s">
        <v>112</v>
      </c>
      <c r="B107" s="44" t="s">
        <v>113</v>
      </c>
      <c r="C107" s="106">
        <v>109053225</v>
      </c>
      <c r="D107" s="121">
        <v>7815.5673</v>
      </c>
      <c r="E107" s="121">
        <v>7870.4654</v>
      </c>
      <c r="F107" s="60">
        <v>21000</v>
      </c>
      <c r="G107" s="142">
        <f>E107-D107</f>
        <v>54.89810000000034</v>
      </c>
      <c r="H107" s="44"/>
      <c r="I107" s="60">
        <f>F107*G107+H107</f>
        <v>1152860.100000007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210</v>
      </c>
      <c r="AW107" s="64"/>
      <c r="AX107" s="64"/>
      <c r="AY107" s="64"/>
      <c r="AZ107" s="67">
        <v>160</v>
      </c>
      <c r="BA107" s="70"/>
      <c r="BB107" s="188">
        <f>AZ107*BB58</f>
        <v>625.9871797222373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.75">
      <c r="A108" s="44" t="s">
        <v>259</v>
      </c>
      <c r="B108" s="55" t="s">
        <v>262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60</v>
      </c>
      <c r="AU108" s="53"/>
      <c r="AV108" s="101"/>
      <c r="AW108" s="101"/>
      <c r="AX108" s="53"/>
      <c r="AY108" s="54"/>
      <c r="AZ108" s="68">
        <v>5880</v>
      </c>
      <c r="BA108" s="86"/>
      <c r="BB108" s="188">
        <f>AZ108*BB58</f>
        <v>23005.02885479222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 spans="1:68" ht="12.75">
      <c r="A109" s="44" t="s">
        <v>260</v>
      </c>
      <c r="B109" s="45" t="s">
        <v>263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273</v>
      </c>
      <c r="AU109" s="51"/>
      <c r="AV109" s="51"/>
      <c r="AW109" s="51"/>
      <c r="AX109" s="51"/>
      <c r="AY109" s="52"/>
      <c r="AZ109" s="189">
        <f>AZ110+AZ111</f>
        <v>187418</v>
      </c>
      <c r="BA109" s="95"/>
      <c r="BB109" s="188">
        <f>AZ109*BB58</f>
        <v>733257.9078073892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1:68" ht="12.75">
      <c r="A110" s="45" t="s">
        <v>261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23</v>
      </c>
      <c r="AU110" s="64"/>
      <c r="AV110" s="64"/>
      <c r="AW110" s="64"/>
      <c r="AX110" s="64"/>
      <c r="AY110" s="65"/>
      <c r="AZ110" s="67">
        <v>15896</v>
      </c>
      <c r="BA110" s="78"/>
      <c r="BB110" s="188">
        <f>AZ110*BB58</f>
        <v>62191.826305404276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1:68" ht="12.75">
      <c r="A111" s="44" t="s">
        <v>116</v>
      </c>
      <c r="B111" s="45" t="s">
        <v>117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24</v>
      </c>
      <c r="AU111" s="53"/>
      <c r="AV111" s="53"/>
      <c r="AW111" s="53"/>
      <c r="AX111" s="53"/>
      <c r="AY111" s="54"/>
      <c r="AZ111" s="68">
        <v>171522</v>
      </c>
      <c r="BA111" s="86"/>
      <c r="BB111" s="188">
        <f>AZ111*BB58</f>
        <v>671066.081501985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1:68" ht="12.75">
      <c r="A112" s="48" t="s">
        <v>118</v>
      </c>
      <c r="B112" s="48" t="s">
        <v>121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211</v>
      </c>
      <c r="AU112" s="55"/>
      <c r="AV112" s="55"/>
      <c r="AW112" s="55"/>
      <c r="AX112" s="55"/>
      <c r="AY112" s="56"/>
      <c r="AZ112" s="125">
        <v>17108</v>
      </c>
      <c r="BA112" s="92"/>
      <c r="BB112" s="188">
        <f>AZ112*BB58</f>
        <v>66933.67919180023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 spans="1:68" ht="12.75">
      <c r="A113" s="49"/>
      <c r="B113" s="49" t="s">
        <v>119</v>
      </c>
      <c r="C113" s="91">
        <v>109056121</v>
      </c>
      <c r="D113" s="212">
        <v>6646.483</v>
      </c>
      <c r="E113" s="212">
        <v>6677.3173</v>
      </c>
      <c r="F113" s="68">
        <v>4800</v>
      </c>
      <c r="G113" s="213">
        <f aca="true" t="shared" si="2" ref="G113:G132">E113-D113</f>
        <v>30.83429999999953</v>
      </c>
      <c r="H113" s="68"/>
      <c r="I113" s="68">
        <f>F113*G113+H113</f>
        <v>148004.63999999774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59</v>
      </c>
      <c r="AU113" s="55"/>
      <c r="AV113" s="55"/>
      <c r="AW113" s="55"/>
      <c r="AX113" s="55"/>
      <c r="AY113" s="56"/>
      <c r="AZ113" s="125">
        <v>21472</v>
      </c>
      <c r="BA113" s="92"/>
      <c r="BB113" s="188">
        <f>AZ113*BB58</f>
        <v>84007.47951872424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 spans="1:68" ht="12.75">
      <c r="A114" s="48" t="s">
        <v>120</v>
      </c>
      <c r="B114" s="48" t="s">
        <v>132</v>
      </c>
      <c r="C114" s="90">
        <v>623125232</v>
      </c>
      <c r="D114" s="214">
        <v>3004.4408</v>
      </c>
      <c r="E114" s="214">
        <v>3029.0723</v>
      </c>
      <c r="F114" s="75">
        <v>1800</v>
      </c>
      <c r="G114" s="215">
        <f t="shared" si="2"/>
        <v>24.63149999999996</v>
      </c>
      <c r="H114" s="73"/>
      <c r="I114" s="75">
        <f>G114*F114</f>
        <v>44336.699999999924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200</v>
      </c>
      <c r="AU114" s="55"/>
      <c r="AV114" s="55"/>
      <c r="AW114" s="55"/>
      <c r="AX114" s="55"/>
      <c r="AY114" s="56"/>
      <c r="AZ114" s="125">
        <v>13835</v>
      </c>
      <c r="BA114" s="92"/>
      <c r="BB114" s="188">
        <f>AZ114*BB58</f>
        <v>54128.32894660721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 spans="1:68" ht="12.75">
      <c r="A115" s="49"/>
      <c r="B115" s="49" t="s">
        <v>119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180</v>
      </c>
      <c r="AU115" s="55"/>
      <c r="AV115" s="55"/>
      <c r="AW115" s="55"/>
      <c r="AX115" s="55"/>
      <c r="AY115" s="56"/>
      <c r="AZ115" s="125">
        <v>2588</v>
      </c>
      <c r="BA115" s="92"/>
      <c r="BB115" s="188">
        <f>AZ115*BB58</f>
        <v>10125.342632007189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 spans="1:68" ht="12.75">
      <c r="A116" s="48" t="s">
        <v>122</v>
      </c>
      <c r="B116" s="48" t="s">
        <v>133</v>
      </c>
      <c r="C116" s="90">
        <v>623125667</v>
      </c>
      <c r="D116" s="214">
        <v>4026.3237</v>
      </c>
      <c r="E116" s="214">
        <v>4076.3291</v>
      </c>
      <c r="F116" s="75">
        <v>1800</v>
      </c>
      <c r="G116" s="215">
        <f t="shared" si="2"/>
        <v>50.00540000000001</v>
      </c>
      <c r="H116" s="73"/>
      <c r="I116" s="75">
        <f>G116*F116</f>
        <v>90009.72000000002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45000</v>
      </c>
      <c r="BA116" s="92"/>
      <c r="BB116" s="188">
        <f>AZ116*BB58</f>
        <v>176058.89429687924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 spans="1:68" ht="12.75">
      <c r="A117" s="49"/>
      <c r="B117" s="49" t="s">
        <v>119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12000</v>
      </c>
      <c r="BA117" s="92"/>
      <c r="BB117" s="188">
        <f>AZ117*BB58</f>
        <v>46949.0384791678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 spans="1:68" ht="12.75">
      <c r="A118" s="48" t="s">
        <v>123</v>
      </c>
      <c r="B118" s="48" t="s">
        <v>134</v>
      </c>
      <c r="C118" s="90">
        <v>623126370</v>
      </c>
      <c r="D118" s="214">
        <v>796.8884</v>
      </c>
      <c r="E118" s="214">
        <v>811.0353</v>
      </c>
      <c r="F118" s="75">
        <v>4800</v>
      </c>
      <c r="G118" s="215">
        <f t="shared" si="2"/>
        <v>14.14689999999996</v>
      </c>
      <c r="H118" s="73"/>
      <c r="I118" s="75">
        <f>G118*F118</f>
        <v>67905.1199999998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207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195.62099366319916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 spans="1:68" ht="12.75">
      <c r="A119" s="49"/>
      <c r="B119" s="49" t="s">
        <v>119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202</v>
      </c>
      <c r="AU119" s="107"/>
      <c r="AV119" s="55"/>
      <c r="AW119" s="55"/>
      <c r="AX119" s="55"/>
      <c r="AY119" s="56"/>
      <c r="AZ119" s="125">
        <v>64840</v>
      </c>
      <c r="BA119" s="92"/>
      <c r="BB119" s="188">
        <f>AZ119*BB58</f>
        <v>253681.3045824367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 spans="1:68" ht="12.75">
      <c r="A120" s="48" t="s">
        <v>124</v>
      </c>
      <c r="B120" s="48" t="s">
        <v>135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 spans="1:68" ht="12.75">
      <c r="A121" s="49"/>
      <c r="B121" s="49" t="s">
        <v>119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 spans="1:68" ht="12.75">
      <c r="A122" s="48" t="s">
        <v>125</v>
      </c>
      <c r="B122" s="48" t="s">
        <v>136</v>
      </c>
      <c r="C122" s="90">
        <v>623125142</v>
      </c>
      <c r="D122" s="214">
        <v>2657.5554</v>
      </c>
      <c r="E122" s="214">
        <v>2692.7084</v>
      </c>
      <c r="F122" s="75">
        <v>2400</v>
      </c>
      <c r="G122" s="215">
        <f t="shared" si="2"/>
        <v>35.15299999999979</v>
      </c>
      <c r="H122" s="73"/>
      <c r="I122" s="75">
        <f>G122*F122</f>
        <v>84367.1999999995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 spans="1:68" ht="12.75">
      <c r="A123" s="49"/>
      <c r="B123" s="49" t="s">
        <v>119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 spans="1:68" ht="12.75">
      <c r="A124" s="48" t="s">
        <v>126</v>
      </c>
      <c r="B124" s="48" t="s">
        <v>137</v>
      </c>
      <c r="C124" s="90">
        <v>623125205</v>
      </c>
      <c r="D124" s="214">
        <v>2156.6227</v>
      </c>
      <c r="E124" s="214">
        <v>2196.2547</v>
      </c>
      <c r="F124" s="75">
        <v>1800</v>
      </c>
      <c r="G124" s="215">
        <f t="shared" si="2"/>
        <v>39.63200000000006</v>
      </c>
      <c r="H124" s="73"/>
      <c r="I124" s="75">
        <f>G124*F124</f>
        <v>71337.60000000011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 spans="1:68" ht="12.75">
      <c r="A125" s="49"/>
      <c r="B125" s="49" t="s">
        <v>119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 spans="1:68" ht="12.75">
      <c r="A126" s="48" t="s">
        <v>127</v>
      </c>
      <c r="B126" s="48" t="s">
        <v>138</v>
      </c>
      <c r="C126" s="90">
        <v>623123704</v>
      </c>
      <c r="D126" s="214">
        <v>2636.3724</v>
      </c>
      <c r="E126" s="214">
        <v>2694.6294</v>
      </c>
      <c r="F126" s="75">
        <v>1800</v>
      </c>
      <c r="G126" s="215">
        <f t="shared" si="2"/>
        <v>58.25699999999961</v>
      </c>
      <c r="H126" s="73"/>
      <c r="I126" s="75">
        <f>G126*F126</f>
        <v>104862.5999999993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 spans="1:68" ht="12.75">
      <c r="A127" s="49"/>
      <c r="B127" s="49" t="s">
        <v>119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 spans="1:68" ht="12.75">
      <c r="A128" s="48" t="s">
        <v>128</v>
      </c>
      <c r="B128" s="48" t="s">
        <v>139</v>
      </c>
      <c r="C128" s="90">
        <v>623125794</v>
      </c>
      <c r="D128" s="214">
        <v>160.2816</v>
      </c>
      <c r="E128" s="214">
        <v>172.1663</v>
      </c>
      <c r="F128" s="75">
        <v>1800</v>
      </c>
      <c r="G128" s="215">
        <f>E128-D128</f>
        <v>11.88470000000001</v>
      </c>
      <c r="H128" s="73"/>
      <c r="I128" s="75">
        <f>G128*F128</f>
        <v>21392.460000000017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 spans="1:68" ht="12.75">
      <c r="A129" s="49"/>
      <c r="B129" s="49" t="s">
        <v>119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</row>
    <row r="130" spans="1:68" ht="12.75">
      <c r="A130" s="48" t="s">
        <v>129</v>
      </c>
      <c r="B130" s="48" t="s">
        <v>140</v>
      </c>
      <c r="C130" s="90">
        <v>623125736</v>
      </c>
      <c r="D130" s="214">
        <v>3151.9903</v>
      </c>
      <c r="E130" s="214">
        <v>3191.0803</v>
      </c>
      <c r="F130" s="75">
        <v>1200</v>
      </c>
      <c r="G130" s="215">
        <f t="shared" si="2"/>
        <v>39.090000000000146</v>
      </c>
      <c r="H130" s="73"/>
      <c r="I130" s="75">
        <f>G130*F130</f>
        <v>46908.000000000175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</row>
    <row r="131" spans="1:68" ht="12.75">
      <c r="A131" s="49"/>
      <c r="B131" s="49" t="s">
        <v>119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5913394</v>
      </c>
      <c r="BA131" s="47"/>
      <c r="BB131" s="165">
        <f>SUM(BB93:BB96)+BB103+BB109+SUM(BB112:BB126)</f>
        <v>23135680.20404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</row>
    <row r="132" spans="1:68" ht="12.75">
      <c r="A132" s="48" t="s">
        <v>130</v>
      </c>
      <c r="B132" s="50" t="s">
        <v>131</v>
      </c>
      <c r="C132" s="90">
        <v>1110171156</v>
      </c>
      <c r="D132" s="214">
        <v>1683.4952</v>
      </c>
      <c r="E132" s="214">
        <v>1732.632</v>
      </c>
      <c r="F132" s="75">
        <v>40</v>
      </c>
      <c r="G132" s="215">
        <f t="shared" si="2"/>
        <v>49.136799999999994</v>
      </c>
      <c r="H132" s="73"/>
      <c r="I132" s="75">
        <f>G132*F132</f>
        <v>1965.4719999999998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</row>
    <row r="133" spans="1:68" ht="12.75">
      <c r="A133" s="49"/>
      <c r="B133" s="46" t="s">
        <v>119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</row>
    <row r="134" spans="1:68" ht="12.75">
      <c r="A134" s="94"/>
      <c r="B134" s="55"/>
      <c r="C134" s="86"/>
      <c r="D134" s="92"/>
      <c r="E134" s="93"/>
      <c r="F134" s="93"/>
      <c r="G134" s="108" t="s">
        <v>141</v>
      </c>
      <c r="H134" s="56"/>
      <c r="I134" s="125">
        <f>SUM(I112:I133)+I107</f>
        <v>1833949.6120000035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301</v>
      </c>
      <c r="AU134" s="47"/>
      <c r="AV134" s="47"/>
      <c r="AW134" s="47"/>
      <c r="AX134" s="47"/>
      <c r="AY134" s="47"/>
      <c r="AZ134" s="47"/>
      <c r="BA134" s="47"/>
      <c r="BB134" s="47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</row>
    <row r="135" spans="1:68" ht="12.75">
      <c r="A135" s="48" t="s">
        <v>144</v>
      </c>
      <c r="B135" s="50" t="s">
        <v>142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</row>
    <row r="136" spans="1:68" ht="12.75">
      <c r="A136" s="74"/>
      <c r="B136" s="63" t="s">
        <v>143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48</v>
      </c>
      <c r="AU136" s="47"/>
      <c r="AV136" s="47"/>
      <c r="AW136" s="47"/>
      <c r="AX136" s="47"/>
      <c r="AY136" s="47"/>
      <c r="AZ136" s="47"/>
      <c r="BA136" s="47"/>
      <c r="BB136" s="47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</row>
    <row r="137" spans="1:68" ht="12.75">
      <c r="A137" s="50" t="s">
        <v>145</v>
      </c>
      <c r="B137" s="48" t="s">
        <v>240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</row>
    <row r="138" spans="1:68" ht="12.75">
      <c r="A138" s="63"/>
      <c r="B138" s="74"/>
      <c r="C138" s="194">
        <v>611127627</v>
      </c>
      <c r="D138" s="191">
        <v>2564.9724</v>
      </c>
      <c r="E138" s="191">
        <v>2565.7252</v>
      </c>
      <c r="F138" s="60">
        <v>40</v>
      </c>
      <c r="G138" s="142">
        <f>E138-D138</f>
        <v>0.7527999999997519</v>
      </c>
      <c r="H138" s="60"/>
      <c r="I138" s="60">
        <f>ROUND(F138*G138+H138,0)</f>
        <v>30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</row>
    <row r="139" spans="1:68" ht="12.75">
      <c r="A139" s="63"/>
      <c r="B139" s="49" t="s">
        <v>231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302</v>
      </c>
      <c r="AX139" s="47"/>
      <c r="AY139" s="47"/>
      <c r="AZ139" s="47"/>
      <c r="BA139" s="47"/>
      <c r="BB139" s="47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</row>
    <row r="140" spans="1:68" ht="12.75">
      <c r="A140" s="48" t="s">
        <v>148</v>
      </c>
      <c r="B140" s="65"/>
      <c r="C140" s="106">
        <v>810120245</v>
      </c>
      <c r="D140" s="191">
        <v>1342.4411</v>
      </c>
      <c r="E140" s="191">
        <v>1342.8478</v>
      </c>
      <c r="F140" s="60">
        <v>3600</v>
      </c>
      <c r="G140" s="142">
        <f aca="true" t="shared" si="3" ref="G140:G145">E140-D140</f>
        <v>0.4067000000000007</v>
      </c>
      <c r="H140" s="60"/>
      <c r="I140" s="60">
        <f aca="true" t="shared" si="4" ref="I140:I145">ROUND(F140*G140+H140,0)</f>
        <v>1464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299</v>
      </c>
      <c r="AX140" s="47"/>
      <c r="AY140" s="47"/>
      <c r="AZ140" s="47"/>
      <c r="BA140" s="47"/>
      <c r="BB140" s="47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</row>
    <row r="141" spans="1:68" ht="12.75">
      <c r="A141" s="74"/>
      <c r="B141" s="65" t="s">
        <v>246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</row>
    <row r="142" spans="1:68" ht="12.75">
      <c r="A142" s="74"/>
      <c r="B142" s="65"/>
      <c r="C142" s="103">
        <v>4050284</v>
      </c>
      <c r="D142" s="121">
        <v>4356.7139</v>
      </c>
      <c r="E142" s="121">
        <v>4378.2564</v>
      </c>
      <c r="F142" s="60">
        <v>3600</v>
      </c>
      <c r="G142" s="143">
        <f t="shared" si="3"/>
        <v>21.542500000000473</v>
      </c>
      <c r="H142" s="44"/>
      <c r="I142" s="60">
        <f t="shared" si="4"/>
        <v>77553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</row>
    <row r="143" spans="1:68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</row>
    <row r="144" spans="1:68" ht="12.75">
      <c r="A144" s="74" t="s">
        <v>149</v>
      </c>
      <c r="B144" s="48" t="s">
        <v>115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</row>
    <row r="145" spans="1:68" ht="12.75">
      <c r="A145" s="196"/>
      <c r="B145" s="74" t="s">
        <v>114</v>
      </c>
      <c r="C145" s="194">
        <v>611127492</v>
      </c>
      <c r="D145" s="191">
        <v>6224.1588</v>
      </c>
      <c r="E145" s="191">
        <v>6281.5512</v>
      </c>
      <c r="F145" s="60">
        <v>20</v>
      </c>
      <c r="G145" s="142">
        <f t="shared" si="3"/>
        <v>57.392399999999725</v>
      </c>
      <c r="H145" s="60"/>
      <c r="I145" s="60">
        <f t="shared" si="4"/>
        <v>1148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</row>
    <row r="146" spans="1:68" ht="12.75">
      <c r="A146" s="50" t="s">
        <v>150</v>
      </c>
      <c r="B146" s="48" t="s">
        <v>241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</row>
    <row r="147" spans="1:68" ht="12.75">
      <c r="A147" s="197"/>
      <c r="B147" s="70" t="s">
        <v>281</v>
      </c>
      <c r="C147" s="194">
        <v>611127702</v>
      </c>
      <c r="D147" s="191">
        <v>7075.3816</v>
      </c>
      <c r="E147" s="191">
        <v>7097.8568</v>
      </c>
      <c r="F147" s="60">
        <v>60</v>
      </c>
      <c r="G147" s="142">
        <f>E147-D147</f>
        <v>22.47519999999986</v>
      </c>
      <c r="H147" s="44"/>
      <c r="I147" s="60">
        <f>ROUND(F147*G147+H147,0)</f>
        <v>1349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</row>
    <row r="148" spans="1:68" ht="12.75">
      <c r="A148" s="63"/>
      <c r="B148" s="70" t="s">
        <v>282</v>
      </c>
      <c r="C148" s="194">
        <v>611127555</v>
      </c>
      <c r="D148" s="191">
        <v>2271.1908</v>
      </c>
      <c r="E148" s="191">
        <v>2342.7232</v>
      </c>
      <c r="F148" s="60">
        <v>60</v>
      </c>
      <c r="G148" s="142">
        <f>E148-D148</f>
        <v>71.53240000000005</v>
      </c>
      <c r="H148" s="44"/>
      <c r="I148" s="60">
        <f>ROUND(F148*G148+H148,0)</f>
        <v>4292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</row>
    <row r="149" spans="1:68" ht="12.75">
      <c r="A149" s="50" t="s">
        <v>151</v>
      </c>
      <c r="B149" s="48" t="s">
        <v>242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</row>
    <row r="150" spans="1:68" ht="12.75">
      <c r="A150" s="197"/>
      <c r="B150" s="74"/>
      <c r="C150" s="194">
        <v>1110171163</v>
      </c>
      <c r="D150" s="121">
        <v>624.2424</v>
      </c>
      <c r="E150" s="121">
        <v>650.1776</v>
      </c>
      <c r="F150" s="60">
        <v>60</v>
      </c>
      <c r="G150" s="142">
        <f>E150-D150</f>
        <v>25.93520000000001</v>
      </c>
      <c r="H150" s="44"/>
      <c r="I150" s="60">
        <f>ROUND(F150*G150+H150,0)</f>
        <v>1556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</row>
    <row r="151" spans="1:68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</row>
    <row r="152" spans="1:68" ht="12.75">
      <c r="A152" s="50" t="s">
        <v>152</v>
      </c>
      <c r="B152" s="48" t="s">
        <v>243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</row>
    <row r="153" spans="1:68" ht="12.75">
      <c r="A153" s="63"/>
      <c r="B153" s="74"/>
      <c r="C153" s="194">
        <v>1110171170</v>
      </c>
      <c r="D153" s="191">
        <v>218.4728</v>
      </c>
      <c r="E153" s="191">
        <v>221.8428</v>
      </c>
      <c r="F153" s="60">
        <v>40</v>
      </c>
      <c r="G153" s="142">
        <f>E153-D153</f>
        <v>3.3700000000000045</v>
      </c>
      <c r="H153" s="60"/>
      <c r="I153" s="60">
        <f>ROUND(F153*G153+H153,0)</f>
        <v>135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</row>
    <row r="154" spans="1:68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</row>
    <row r="155" spans="1:68" ht="12.75">
      <c r="A155" s="48" t="s">
        <v>153</v>
      </c>
      <c r="B155" s="52" t="s">
        <v>276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</row>
    <row r="156" spans="1:68" ht="12.75">
      <c r="A156" s="74"/>
      <c r="B156" s="65" t="s">
        <v>232</v>
      </c>
      <c r="C156" s="194">
        <v>611126404</v>
      </c>
      <c r="D156" s="191">
        <v>924.5326</v>
      </c>
      <c r="E156" s="191">
        <v>934.191</v>
      </c>
      <c r="F156" s="60">
        <v>1800</v>
      </c>
      <c r="G156" s="142">
        <f>E156-D156</f>
        <v>9.658400000000029</v>
      </c>
      <c r="H156" s="60"/>
      <c r="I156" s="60">
        <f>ROUND(F156*G156+H156,0)</f>
        <v>17385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</row>
    <row r="157" spans="1:68" ht="12.75">
      <c r="A157" s="49"/>
      <c r="B157" s="54" t="s">
        <v>247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</row>
    <row r="158" spans="1:68" ht="12.75">
      <c r="A158" s="63" t="s">
        <v>233</v>
      </c>
      <c r="B158" s="48" t="s">
        <v>244</v>
      </c>
      <c r="C158" s="194">
        <v>611127724</v>
      </c>
      <c r="D158" s="191">
        <v>699.85</v>
      </c>
      <c r="E158" s="191">
        <v>708.1156</v>
      </c>
      <c r="F158" s="60">
        <v>30</v>
      </c>
      <c r="G158" s="142">
        <f>E158-D158</f>
        <v>8.26559999999995</v>
      </c>
      <c r="H158" s="60"/>
      <c r="I158" s="60">
        <f>ROUND(F158*G158+H158,0)</f>
        <v>248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</row>
    <row r="159" spans="1:68" ht="12.75">
      <c r="A159" s="46"/>
      <c r="B159" s="74" t="s">
        <v>275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</row>
    <row r="160" spans="1:68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</row>
    <row r="161" spans="1:68" ht="12.75">
      <c r="A161" s="46"/>
      <c r="B161" s="53"/>
      <c r="C161" s="55"/>
      <c r="D161" s="55"/>
      <c r="E161" s="55"/>
      <c r="F161" s="55" t="s">
        <v>154</v>
      </c>
      <c r="G161" s="55"/>
      <c r="H161" s="56"/>
      <c r="I161" s="125">
        <f>SUM(I137:I159)-I160</f>
        <v>105160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</row>
    <row r="162" spans="1:68" ht="12.75">
      <c r="A162" s="45"/>
      <c r="B162" s="55"/>
      <c r="C162" s="55"/>
      <c r="D162" s="55"/>
      <c r="E162" s="55"/>
      <c r="F162" s="55"/>
      <c r="G162" s="55" t="s">
        <v>155</v>
      </c>
      <c r="H162" s="56"/>
      <c r="I162" s="125">
        <f>I103+I104+I107+I108+I109+I110-I134-I161</f>
        <v>2875688.488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</row>
    <row r="163" spans="1:68" ht="12.75">
      <c r="A163" s="44" t="s">
        <v>162</v>
      </c>
      <c r="B163" s="45" t="s">
        <v>156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</row>
    <row r="164" spans="1:68" ht="12.75">
      <c r="A164" s="48" t="s">
        <v>160</v>
      </c>
      <c r="B164" s="48" t="s">
        <v>157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</row>
    <row r="165" spans="1:68" ht="12.75">
      <c r="A165" s="49"/>
      <c r="B165" s="49" t="s">
        <v>158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</row>
    <row r="166" spans="1:68" ht="12.75">
      <c r="A166" s="48" t="s">
        <v>161</v>
      </c>
      <c r="B166" s="48" t="s">
        <v>159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</row>
    <row r="167" spans="1:68" ht="12.75">
      <c r="A167" s="49"/>
      <c r="B167" s="49" t="s">
        <v>158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</row>
    <row r="168" spans="1:68" ht="12.75">
      <c r="A168" s="45"/>
      <c r="B168" s="55"/>
      <c r="C168" s="109"/>
      <c r="D168" s="92"/>
      <c r="E168" s="110"/>
      <c r="F168" s="110" t="s">
        <v>163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</row>
    <row r="169" spans="1:68" ht="12.75">
      <c r="A169" s="45"/>
      <c r="B169" s="55"/>
      <c r="C169" s="109"/>
      <c r="D169" s="92"/>
      <c r="E169" s="110"/>
      <c r="F169" s="110"/>
      <c r="G169" s="111" t="s">
        <v>164</v>
      </c>
      <c r="H169" s="56"/>
      <c r="I169" s="125">
        <f>I162+I168</f>
        <v>2875688.488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</row>
    <row r="170" spans="1:68" ht="12.75">
      <c r="A170" s="50" t="s">
        <v>165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</row>
    <row r="171" spans="1:68" ht="12.75">
      <c r="A171" s="114" t="s">
        <v>290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</row>
    <row r="172" spans="1:68" ht="12.75">
      <c r="A172" s="64" t="s">
        <v>168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</row>
    <row r="173" spans="1:68" ht="12.75">
      <c r="A173" s="64"/>
      <c r="B173" s="64"/>
      <c r="C173" s="78"/>
      <c r="D173" s="202" t="s">
        <v>169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</row>
    <row r="174" spans="1:68" ht="12.75">
      <c r="A174" s="64"/>
      <c r="B174" s="64"/>
      <c r="C174" s="78"/>
      <c r="D174" s="202" t="s">
        <v>268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</row>
    <row r="175" spans="1:68" ht="12.75">
      <c r="A175" s="64"/>
      <c r="B175" s="64"/>
      <c r="C175" s="154"/>
      <c r="D175" s="202" t="s">
        <v>291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</row>
    <row r="176" spans="1:68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</row>
    <row r="177" spans="1:68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257</v>
      </c>
      <c r="BA177" s="47"/>
      <c r="BB177" s="47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</row>
    <row r="178" spans="1:68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251</v>
      </c>
      <c r="BA178" s="47" t="s">
        <v>27</v>
      </c>
      <c r="BB178" s="47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</row>
    <row r="179" spans="1:68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248</v>
      </c>
      <c r="AZ179" s="190">
        <f>AZ183+AZ184+AZ185</f>
        <v>3001247</v>
      </c>
      <c r="BA179" s="218">
        <f>AZ179*2.9</f>
        <v>8703616.299999999</v>
      </c>
      <c r="BB179" s="47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</row>
    <row r="180" spans="1:68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249</v>
      </c>
      <c r="AZ180" s="190">
        <f>AZ187-AZ179-AZ181</f>
        <v>2748367</v>
      </c>
      <c r="BA180" s="218">
        <f>AZ180*2.9</f>
        <v>7970264.3</v>
      </c>
      <c r="BB180" s="47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</row>
    <row r="181" spans="1:68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250</v>
      </c>
      <c r="AZ181" s="190">
        <f>AZ186</f>
        <v>163780</v>
      </c>
      <c r="BA181" s="218">
        <f>AZ181*2.9</f>
        <v>474962</v>
      </c>
      <c r="BB181" s="47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</row>
    <row r="182" spans="52:68" ht="12.75">
      <c r="AZ182" s="216"/>
      <c r="BA182" s="216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</row>
    <row r="183" spans="51:68" ht="12.75">
      <c r="AY183" s="47" t="s">
        <v>252</v>
      </c>
      <c r="AZ183" s="217">
        <v>2742934</v>
      </c>
      <c r="BA183" s="216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</row>
    <row r="184" spans="51:68" ht="12.75">
      <c r="AY184" s="47" t="s">
        <v>253</v>
      </c>
      <c r="AZ184" s="217">
        <f>AZ95</f>
        <v>76460</v>
      </c>
      <c r="BA184" s="216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</row>
    <row r="185" spans="51:68" ht="12.75">
      <c r="AY185" s="47" t="s">
        <v>255</v>
      </c>
      <c r="AZ185" s="217">
        <v>181853</v>
      </c>
      <c r="BA185" s="216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</row>
    <row r="186" spans="51:68" ht="12.75">
      <c r="AY186" s="47" t="s">
        <v>256</v>
      </c>
      <c r="AZ186" s="217">
        <v>163780</v>
      </c>
      <c r="BA186" s="216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</row>
    <row r="187" spans="51:68" ht="12.75">
      <c r="AY187" s="47" t="s">
        <v>254</v>
      </c>
      <c r="AZ187" s="217">
        <f>AZ131</f>
        <v>5913394</v>
      </c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</row>
    <row r="188" spans="55:68" ht="12.75"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</row>
    <row r="189" spans="55:68" ht="12.75"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 t="s">
        <v>285</v>
      </c>
      <c r="C196" s="3"/>
      <c r="D196" s="228">
        <v>42444</v>
      </c>
      <c r="E196" s="228">
        <v>42465</v>
      </c>
      <c r="F196" s="228">
        <v>1800</v>
      </c>
      <c r="G196" s="228">
        <f>E196-D196</f>
        <v>21</v>
      </c>
      <c r="H196" s="228"/>
      <c r="I196" s="60">
        <f>ROUND(F196*G196+H196,0)</f>
        <v>37800</v>
      </c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.7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.75">
      <c r="A225" s="3"/>
      <c r="B225" s="3"/>
      <c r="C225" s="3"/>
      <c r="D225" s="3"/>
      <c r="E225" s="3"/>
      <c r="F225" s="3"/>
      <c r="G225" s="3"/>
      <c r="H225" s="3"/>
      <c r="I225" s="3"/>
    </row>
    <row r="226" spans="1:27" ht="12.75">
      <c r="A226" s="3"/>
      <c r="B226" s="3"/>
      <c r="C226" s="3"/>
      <c r="D226" s="3"/>
      <c r="E226" s="3"/>
      <c r="F226" s="3"/>
      <c r="G226" s="3"/>
      <c r="H226" s="3"/>
      <c r="I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>
      <c r="A227" s="3"/>
      <c r="B227" s="3"/>
      <c r="C227" s="3"/>
      <c r="D227" s="3"/>
      <c r="E227" s="3"/>
      <c r="F227" s="3"/>
      <c r="G227" s="3"/>
      <c r="H227" s="3"/>
      <c r="I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>
      <c r="A228" s="3"/>
      <c r="B228" s="3"/>
      <c r="C228" s="3"/>
      <c r="D228" s="3"/>
      <c r="E228" s="3"/>
      <c r="F228" s="3"/>
      <c r="G228" s="3"/>
      <c r="H228" s="3"/>
      <c r="I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>
      <c r="A229" s="3"/>
      <c r="B229" s="3"/>
      <c r="C229" s="3"/>
      <c r="D229" s="3"/>
      <c r="E229" s="3"/>
      <c r="F229" s="3"/>
      <c r="G229" s="3"/>
      <c r="H229" s="3"/>
      <c r="I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>
      <c r="A230" s="21"/>
      <c r="B230" s="3"/>
      <c r="C230" s="3"/>
      <c r="D230" s="3"/>
      <c r="E230" s="3"/>
      <c r="F230" s="3"/>
      <c r="G230" s="3"/>
      <c r="H230" s="3"/>
      <c r="I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>
      <c r="A231" s="3"/>
      <c r="B231" s="3"/>
      <c r="C231" s="3"/>
      <c r="D231" s="3"/>
      <c r="E231" s="3"/>
      <c r="F231" s="3"/>
      <c r="G231" s="3"/>
      <c r="H231" s="3"/>
      <c r="I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9:27" ht="12.75">
      <c r="S232" s="3"/>
      <c r="T232" s="3"/>
      <c r="U232" s="3"/>
      <c r="V232" s="3"/>
      <c r="W232" s="3"/>
      <c r="X232" s="3"/>
      <c r="Y232" s="3"/>
      <c r="Z232" s="3"/>
      <c r="AA232" s="3"/>
    </row>
    <row r="233" spans="19:27" ht="12.75">
      <c r="S233" s="3"/>
      <c r="T233" s="3"/>
      <c r="U233" s="3"/>
      <c r="V233" s="3"/>
      <c r="W233" s="3"/>
      <c r="X233" s="3"/>
      <c r="Y233" s="3"/>
      <c r="Z233" s="3"/>
      <c r="AA233" s="3"/>
    </row>
    <row r="234" spans="19:27" ht="12.75">
      <c r="S234" s="3"/>
      <c r="T234" s="3"/>
      <c r="U234" s="3"/>
      <c r="V234" s="3"/>
      <c r="W234" s="3"/>
      <c r="X234" s="3"/>
      <c r="Y234" s="3"/>
      <c r="Z234" s="3"/>
      <c r="AA234" s="3"/>
    </row>
    <row r="235" spans="19:27" ht="12.75">
      <c r="S235" s="3"/>
      <c r="T235" s="3"/>
      <c r="U235" s="3"/>
      <c r="V235" s="3"/>
      <c r="W235" s="3"/>
      <c r="X235" s="3"/>
      <c r="Y235" s="3"/>
      <c r="Z235" s="3"/>
      <c r="AA235" s="3"/>
    </row>
    <row r="236" spans="19:27" ht="12.75">
      <c r="S236" s="3"/>
      <c r="T236" s="3"/>
      <c r="U236" s="3"/>
      <c r="V236" s="3"/>
      <c r="W236" s="3"/>
      <c r="X236" s="3"/>
      <c r="Y236" s="3"/>
      <c r="Z236" s="3"/>
      <c r="AA236" s="3"/>
    </row>
    <row r="237" spans="19:27" ht="12.75">
      <c r="S237" s="9"/>
      <c r="T237" s="20"/>
      <c r="U237" s="15"/>
      <c r="V237" s="15"/>
      <c r="W237" s="18"/>
      <c r="X237" s="19"/>
      <c r="Y237" s="15"/>
      <c r="Z237" s="9"/>
      <c r="AA237" s="10"/>
    </row>
    <row r="238" spans="19:27" ht="12.75">
      <c r="S238" s="13"/>
      <c r="T238" s="8"/>
      <c r="U238" s="16"/>
      <c r="V238" s="16"/>
      <c r="W238" s="15"/>
      <c r="X238" s="15"/>
      <c r="Y238" s="16"/>
      <c r="Z238" s="13"/>
      <c r="AA238" s="14"/>
    </row>
    <row r="239" spans="19:27" ht="12.75">
      <c r="S239" s="11"/>
      <c r="T239" s="6"/>
      <c r="U239" s="17"/>
      <c r="V239" s="17"/>
      <c r="W239" s="22"/>
      <c r="X239" s="22"/>
      <c r="Y239" s="17"/>
      <c r="Z239" s="11"/>
      <c r="AA239" s="12"/>
    </row>
    <row r="240" spans="19:27" ht="12.75">
      <c r="S240" s="25"/>
      <c r="T240" s="23"/>
      <c r="U240" s="23"/>
      <c r="V240" s="23"/>
      <c r="W240" s="23"/>
      <c r="X240" s="23"/>
      <c r="Y240" s="23"/>
      <c r="Z240" s="23"/>
      <c r="AA240" s="30"/>
    </row>
    <row r="241" spans="19:27" ht="12.75">
      <c r="S241" s="9"/>
      <c r="T241" s="20"/>
      <c r="U241" s="37"/>
      <c r="V241" s="19"/>
      <c r="W241" s="5"/>
      <c r="X241" s="5"/>
      <c r="Y241" s="29"/>
      <c r="Z241" s="1"/>
      <c r="AA241" s="26"/>
    </row>
    <row r="242" spans="19:27" ht="12.75">
      <c r="S242" s="13"/>
      <c r="T242" s="8"/>
      <c r="U242" s="38"/>
      <c r="V242" s="19"/>
      <c r="W242" s="5"/>
      <c r="X242" s="5"/>
      <c r="Y242" s="1"/>
      <c r="Z242" s="1"/>
      <c r="AA242" s="26"/>
    </row>
    <row r="243" spans="19:27" ht="12.75">
      <c r="S243" s="9"/>
      <c r="T243" s="20"/>
      <c r="U243" s="37"/>
      <c r="V243" s="19"/>
      <c r="W243" s="5"/>
      <c r="X243" s="5"/>
      <c r="Y243" s="1"/>
      <c r="Z243" s="1"/>
      <c r="AA243" s="26"/>
    </row>
    <row r="244" spans="19:27" ht="12.75">
      <c r="S244" s="13"/>
      <c r="T244" s="8"/>
      <c r="U244" s="38"/>
      <c r="V244" s="19"/>
      <c r="W244" s="5"/>
      <c r="X244" s="5"/>
      <c r="Y244" s="1"/>
      <c r="Z244" s="1"/>
      <c r="AA244" s="26"/>
    </row>
    <row r="245" spans="19:27" ht="12.75">
      <c r="S245" s="9"/>
      <c r="T245" s="20"/>
      <c r="U245" s="37"/>
      <c r="V245" s="19"/>
      <c r="W245" s="5"/>
      <c r="X245" s="5"/>
      <c r="Y245" s="1"/>
      <c r="Z245" s="1"/>
      <c r="AA245" s="26"/>
    </row>
    <row r="246" spans="19:27" ht="12.75">
      <c r="S246" s="13"/>
      <c r="T246" s="8"/>
      <c r="U246" s="38"/>
      <c r="V246" s="19"/>
      <c r="W246" s="1"/>
      <c r="X246" s="5"/>
      <c r="Y246" s="1"/>
      <c r="Z246" s="1"/>
      <c r="AA246" s="26"/>
    </row>
    <row r="247" spans="19:27" ht="12.75">
      <c r="S247" s="9"/>
      <c r="T247" s="20"/>
      <c r="U247" s="37"/>
      <c r="V247" s="19"/>
      <c r="W247" s="5"/>
      <c r="X247" s="5"/>
      <c r="Y247" s="1"/>
      <c r="Z247" s="1"/>
      <c r="AA247" s="26"/>
    </row>
    <row r="248" spans="19:27" ht="12.75">
      <c r="S248" s="13"/>
      <c r="T248" s="8"/>
      <c r="U248" s="38"/>
      <c r="V248" s="19"/>
      <c r="W248" s="5"/>
      <c r="X248" s="5"/>
      <c r="Y248" s="1"/>
      <c r="Z248" s="1"/>
      <c r="AA248" s="26"/>
    </row>
    <row r="249" spans="19:27" ht="12.75">
      <c r="S249" s="9"/>
      <c r="T249" s="20"/>
      <c r="U249" s="37"/>
      <c r="V249" s="19"/>
      <c r="W249" s="5"/>
      <c r="X249" s="5"/>
      <c r="Y249" s="1"/>
      <c r="Z249" s="1"/>
      <c r="AA249" s="26"/>
    </row>
    <row r="250" spans="19:27" ht="12.75">
      <c r="S250" s="11"/>
      <c r="T250" s="6"/>
      <c r="U250" s="38"/>
      <c r="V250" s="19"/>
      <c r="W250" s="5"/>
      <c r="X250" s="5"/>
      <c r="Y250" s="1"/>
      <c r="Z250" s="1"/>
      <c r="AA250" s="26"/>
    </row>
    <row r="251" spans="19:27" ht="12.75">
      <c r="S251" s="13"/>
      <c r="T251" s="8"/>
      <c r="U251" s="37"/>
      <c r="V251" s="19"/>
      <c r="W251" s="1"/>
      <c r="X251" s="5"/>
      <c r="Y251" s="1"/>
      <c r="Z251" s="1"/>
      <c r="AA251" s="26"/>
    </row>
    <row r="252" spans="19:27" ht="12.75">
      <c r="S252" s="11"/>
      <c r="T252" s="6"/>
      <c r="U252" s="38"/>
      <c r="V252" s="19"/>
      <c r="W252" s="1"/>
      <c r="X252" s="5"/>
      <c r="Y252" s="1"/>
      <c r="Z252" s="1"/>
      <c r="AA252" s="26"/>
    </row>
    <row r="253" spans="19:27" ht="12.75">
      <c r="S253" s="13"/>
      <c r="T253" s="8"/>
      <c r="U253" s="37"/>
      <c r="V253" s="19"/>
      <c r="W253" s="1"/>
      <c r="X253" s="5"/>
      <c r="Y253" s="1"/>
      <c r="Z253" s="1"/>
      <c r="AA253" s="26"/>
    </row>
    <row r="254" spans="19:27" ht="12.75">
      <c r="S254" s="11"/>
      <c r="T254" s="6"/>
      <c r="U254" s="38"/>
      <c r="V254" s="19"/>
      <c r="W254" s="1"/>
      <c r="X254" s="5"/>
      <c r="Y254" s="1"/>
      <c r="Z254" s="1"/>
      <c r="AA254" s="26"/>
    </row>
    <row r="255" spans="19:27" ht="12.75">
      <c r="S255" s="13"/>
      <c r="T255" s="8"/>
      <c r="U255" s="37"/>
      <c r="V255" s="19"/>
      <c r="W255" s="5"/>
      <c r="X255" s="5"/>
      <c r="Y255" s="1"/>
      <c r="Z255" s="1"/>
      <c r="AA255" s="26"/>
    </row>
    <row r="256" spans="19:27" ht="12.75">
      <c r="S256" s="11"/>
      <c r="T256" s="43"/>
      <c r="U256" s="39"/>
      <c r="V256" s="19"/>
      <c r="W256" s="5"/>
      <c r="X256" s="5"/>
      <c r="Y256" s="1"/>
      <c r="Z256" s="1"/>
      <c r="AA256" s="26"/>
    </row>
    <row r="257" spans="19:27" ht="12.75">
      <c r="S257" s="13"/>
      <c r="T257" s="14"/>
      <c r="U257" s="40"/>
      <c r="V257" s="1"/>
      <c r="W257" s="5"/>
      <c r="X257" s="5"/>
      <c r="Y257" s="1"/>
      <c r="Z257" s="1"/>
      <c r="AA257" s="26"/>
    </row>
    <row r="258" spans="19:27" ht="12.75">
      <c r="S258" s="11"/>
      <c r="T258" s="12"/>
      <c r="U258" s="41"/>
      <c r="V258" s="1"/>
      <c r="W258" s="5"/>
      <c r="X258" s="5"/>
      <c r="Y258" s="1"/>
      <c r="Z258" s="1"/>
      <c r="AA258" s="26"/>
    </row>
    <row r="259" spans="19:27" ht="12.75">
      <c r="S259" s="17"/>
      <c r="T259" s="17"/>
      <c r="U259" s="42"/>
      <c r="V259" s="1"/>
      <c r="W259" s="1"/>
      <c r="X259" s="1"/>
      <c r="Y259" s="1"/>
      <c r="Z259" s="1"/>
      <c r="AA259" s="26"/>
    </row>
    <row r="260" spans="19:27" ht="12.75">
      <c r="S260" s="1"/>
      <c r="T260" s="1"/>
      <c r="U260" s="42"/>
      <c r="V260" s="1"/>
      <c r="W260" s="5"/>
      <c r="X260" s="5"/>
      <c r="Y260" s="1"/>
      <c r="Z260" s="1"/>
      <c r="AA260" s="26"/>
    </row>
    <row r="261" spans="19:27" ht="12.75">
      <c r="S261" s="4"/>
      <c r="T261" s="1"/>
      <c r="U261" s="1"/>
      <c r="V261" s="1"/>
      <c r="W261" s="1"/>
      <c r="X261" s="1"/>
      <c r="Y261" s="1"/>
      <c r="Z261" s="1"/>
      <c r="AA261" s="27"/>
    </row>
    <row r="262" spans="19:27" ht="12.75">
      <c r="S262" s="4"/>
      <c r="T262" s="1"/>
      <c r="U262" s="1"/>
      <c r="V262" s="1"/>
      <c r="W262" s="1"/>
      <c r="X262" s="1"/>
      <c r="Y262" s="1"/>
      <c r="Z262" s="1"/>
      <c r="AA262" s="27"/>
    </row>
    <row r="263" spans="19:27" ht="12.75">
      <c r="S263" s="3"/>
      <c r="T263" s="3"/>
      <c r="U263" s="3"/>
      <c r="V263" s="3"/>
      <c r="W263" s="3"/>
      <c r="X263" s="3"/>
      <c r="Y263" s="3"/>
      <c r="Z263" s="3"/>
      <c r="AA263" s="3"/>
    </row>
    <row r="264" spans="19:27" ht="12.75">
      <c r="S264" s="3"/>
      <c r="T264" s="3"/>
      <c r="U264" s="3"/>
      <c r="V264" s="3"/>
      <c r="W264" s="3"/>
      <c r="X264" s="3"/>
      <c r="Y264" s="3"/>
      <c r="Z264" s="3"/>
      <c r="AA264" s="3"/>
    </row>
    <row r="265" spans="19:27" ht="12.75">
      <c r="S265" s="3"/>
      <c r="T265" s="3"/>
      <c r="U265" s="3"/>
      <c r="V265" s="3"/>
      <c r="W265" s="3"/>
      <c r="X265" s="3"/>
      <c r="Y265" s="3"/>
      <c r="Z265" s="3"/>
      <c r="AA265" s="3"/>
    </row>
    <row r="266" spans="19:27" ht="12.75">
      <c r="S266" s="3"/>
      <c r="T266" s="3"/>
      <c r="U266" s="3"/>
      <c r="V266" s="3"/>
      <c r="W266" s="3"/>
      <c r="X266" s="3"/>
      <c r="Y266" s="3"/>
      <c r="Z266" s="3"/>
      <c r="AA266" s="3"/>
    </row>
    <row r="267" spans="19:27" ht="12.75">
      <c r="S267" s="3"/>
      <c r="T267" s="3"/>
      <c r="U267" s="3"/>
      <c r="V267" s="3"/>
      <c r="W267" s="3"/>
      <c r="X267" s="3"/>
      <c r="Y267" s="3"/>
      <c r="Z267" s="3"/>
      <c r="AA267" s="3"/>
    </row>
    <row r="274" spans="19:27" ht="12.75">
      <c r="S274" s="3"/>
      <c r="T274" s="3"/>
      <c r="U274" s="3"/>
      <c r="V274" s="3"/>
      <c r="W274" s="3"/>
      <c r="X274" s="3"/>
      <c r="Y274" s="3"/>
      <c r="Z274" s="3"/>
      <c r="AA274" s="3"/>
    </row>
    <row r="275" spans="19:27" ht="12.75">
      <c r="S275" s="3"/>
      <c r="T275" s="3"/>
      <c r="U275" s="3"/>
      <c r="V275" s="3"/>
      <c r="W275" s="3"/>
      <c r="X275" s="3"/>
      <c r="Y275" s="3"/>
      <c r="Z275" s="3"/>
      <c r="AA275" s="3"/>
    </row>
    <row r="276" spans="19:27" ht="12.75">
      <c r="S276" s="3"/>
      <c r="T276" s="3"/>
      <c r="U276" s="3"/>
      <c r="V276" s="3"/>
      <c r="W276" s="3"/>
      <c r="X276" s="3"/>
      <c r="Y276" s="3"/>
      <c r="Z276" s="3"/>
      <c r="AA276" s="3"/>
    </row>
    <row r="277" spans="19:27" ht="12.75">
      <c r="S277" s="3"/>
      <c r="T277" s="3"/>
      <c r="U277" s="3"/>
      <c r="V277" s="3"/>
      <c r="W277" s="3"/>
      <c r="X277" s="3"/>
      <c r="Y277" s="3"/>
      <c r="Z277" s="3"/>
      <c r="AA277" s="3"/>
    </row>
    <row r="278" spans="19:27" ht="12.75">
      <c r="S278" s="3"/>
      <c r="T278" s="3"/>
      <c r="U278" s="3"/>
      <c r="V278" s="3"/>
      <c r="W278" s="3"/>
      <c r="X278" s="3"/>
      <c r="Y278" s="3"/>
      <c r="Z278" s="3"/>
      <c r="AA278" s="3"/>
    </row>
    <row r="279" spans="19:27" ht="12.75">
      <c r="S279" s="3"/>
      <c r="T279" s="3"/>
      <c r="U279" s="3"/>
      <c r="V279" s="3"/>
      <c r="W279" s="3"/>
      <c r="X279" s="3"/>
      <c r="Y279" s="3"/>
      <c r="Z279" s="3"/>
      <c r="AA279" s="3"/>
    </row>
  </sheetData>
  <sheetProtection/>
  <printOptions/>
  <pageMargins left="0.7874015748031497" right="0.1968503937007874" top="0.1968503937007874" bottom="0.1968503937007874" header="0.31496062992125984" footer="0.3149606299212598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2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37.625" style="0" customWidth="1"/>
    <col min="3" max="3" width="15.125" style="0" customWidth="1"/>
    <col min="4" max="4" width="11.00390625" style="0" customWidth="1"/>
    <col min="5" max="5" width="11.625" style="0" customWidth="1"/>
    <col min="6" max="6" width="9.375" style="0" customWidth="1"/>
    <col min="7" max="7" width="9.25390625" style="0" customWidth="1"/>
    <col min="8" max="8" width="8.25390625" style="0" customWidth="1"/>
    <col min="9" max="9" width="12.00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25390625" style="0" customWidth="1"/>
    <col min="17" max="17" width="9.375" style="0" customWidth="1"/>
    <col min="18" max="18" width="11.625" style="0" customWidth="1"/>
    <col min="19" max="19" width="8.00390625" style="0" customWidth="1"/>
    <col min="21" max="21" width="13.625" style="0" customWidth="1"/>
    <col min="22" max="22" width="20.25390625" style="0" customWidth="1"/>
    <col min="23" max="23" width="15.75390625" style="0" customWidth="1"/>
    <col min="24" max="24" width="13.25390625" style="0" customWidth="1"/>
    <col min="25" max="26" width="13.875" style="0" customWidth="1"/>
    <col min="27" max="27" width="12.75390625" style="0" customWidth="1"/>
    <col min="28" max="28" width="7.375" style="0" customWidth="1"/>
    <col min="31" max="31" width="29.125" style="0" customWidth="1"/>
    <col min="32" max="32" width="13.00390625" style="0" customWidth="1"/>
    <col min="33" max="33" width="12.875" style="0" customWidth="1"/>
    <col min="34" max="34" width="12.125" style="0" customWidth="1"/>
    <col min="35" max="35" width="13.625" style="0" customWidth="1"/>
    <col min="36" max="36" width="12.875" style="0" customWidth="1"/>
    <col min="37" max="37" width="7.625" style="0" customWidth="1"/>
    <col min="40" max="40" width="30.75390625" style="0" customWidth="1"/>
    <col min="41" max="41" width="13.375" style="0" customWidth="1"/>
    <col min="42" max="42" width="12.00390625" style="0" customWidth="1"/>
    <col min="43" max="43" width="12.125" style="0" customWidth="1"/>
    <col min="44" max="44" width="12.375" style="0" customWidth="1"/>
    <col min="45" max="45" width="12.75390625" style="0" customWidth="1"/>
    <col min="51" max="51" width="23.875" style="0" customWidth="1"/>
    <col min="52" max="52" width="15.75390625" style="0" customWidth="1"/>
    <col min="53" max="53" width="17.625" style="0" customWidth="1"/>
    <col min="54" max="54" width="16.00390625" style="0" customWidth="1"/>
  </cols>
  <sheetData>
    <row r="1" spans="1:113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ht="12.75">
      <c r="A2" s="47"/>
      <c r="B2" s="47"/>
      <c r="C2" s="47"/>
      <c r="D2" s="47" t="s">
        <v>90</v>
      </c>
      <c r="E2" s="47"/>
      <c r="F2" s="47"/>
      <c r="G2" s="47"/>
      <c r="H2" s="47"/>
      <c r="I2" s="47"/>
      <c r="J2" s="47"/>
      <c r="K2" s="47"/>
      <c r="L2" s="47"/>
      <c r="M2" s="47" t="s">
        <v>174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187</v>
      </c>
      <c r="AC2" s="47"/>
      <c r="AD2" s="47"/>
      <c r="AE2" s="47"/>
      <c r="AF2" s="47"/>
      <c r="AG2" s="47"/>
      <c r="AH2" s="47"/>
      <c r="AI2" s="47"/>
      <c r="AJ2" s="47"/>
      <c r="AK2" s="47" t="s">
        <v>187</v>
      </c>
      <c r="AL2" s="47"/>
      <c r="AM2" s="47"/>
      <c r="AN2" s="47"/>
      <c r="AO2" s="47"/>
      <c r="AP2" s="47"/>
      <c r="AQ2" s="47"/>
      <c r="AR2" s="47"/>
      <c r="AS2" s="47"/>
      <c r="AT2" s="64" t="s">
        <v>267</v>
      </c>
      <c r="AU2" s="47"/>
      <c r="AV2" s="47"/>
      <c r="AW2" s="47"/>
      <c r="AX2" s="47"/>
      <c r="AY2" s="47"/>
      <c r="AZ2" s="47"/>
      <c r="BA2" s="47"/>
      <c r="BB2" s="47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2.75">
      <c r="A3" s="47"/>
      <c r="B3" s="47"/>
      <c r="C3" s="47"/>
      <c r="D3" s="47" t="s">
        <v>91</v>
      </c>
      <c r="E3" s="47"/>
      <c r="F3" s="47"/>
      <c r="G3" s="47"/>
      <c r="H3" s="47"/>
      <c r="I3" s="47"/>
      <c r="J3" s="47"/>
      <c r="K3" s="47"/>
      <c r="L3" s="47"/>
      <c r="M3" s="47" t="s">
        <v>175</v>
      </c>
      <c r="N3" s="47"/>
      <c r="O3" s="47"/>
      <c r="P3" s="47"/>
      <c r="Q3" s="47"/>
      <c r="R3" s="47"/>
      <c r="S3" s="47" t="s">
        <v>187</v>
      </c>
      <c r="T3" s="47"/>
      <c r="U3" s="47"/>
      <c r="V3" s="47"/>
      <c r="W3" s="47"/>
      <c r="X3" s="47"/>
      <c r="Y3" s="47"/>
      <c r="Z3" s="47"/>
      <c r="AA3" s="47"/>
      <c r="AB3" s="47" t="s">
        <v>186</v>
      </c>
      <c r="AC3" s="47"/>
      <c r="AD3" s="47"/>
      <c r="AE3" s="47"/>
      <c r="AF3" s="47"/>
      <c r="AG3" s="47"/>
      <c r="AH3" s="47"/>
      <c r="AI3" s="47"/>
      <c r="AJ3" s="47"/>
      <c r="AK3" s="47" t="s">
        <v>186</v>
      </c>
      <c r="AL3" s="47"/>
      <c r="AM3" s="47"/>
      <c r="AN3" s="47"/>
      <c r="AO3" s="47"/>
      <c r="AP3" s="47"/>
      <c r="AQ3" s="47"/>
      <c r="AR3" s="47"/>
      <c r="AS3" s="47"/>
      <c r="AT3" s="64" t="s">
        <v>269</v>
      </c>
      <c r="AU3" s="47"/>
      <c r="AV3" s="47"/>
      <c r="AW3" s="47"/>
      <c r="AX3" s="47"/>
      <c r="AY3" s="47"/>
      <c r="AZ3" s="47"/>
      <c r="BA3" s="47"/>
      <c r="BB3" s="47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186</v>
      </c>
      <c r="T4" s="47"/>
      <c r="U4" s="47"/>
      <c r="V4" s="47"/>
      <c r="W4" s="47"/>
      <c r="X4" s="47"/>
      <c r="Y4" s="47"/>
      <c r="Z4" s="47"/>
      <c r="AA4" s="47"/>
      <c r="AB4" s="47" t="s">
        <v>188</v>
      </c>
      <c r="AC4" s="47"/>
      <c r="AD4" s="47"/>
      <c r="AE4" s="47"/>
      <c r="AF4" s="47"/>
      <c r="AG4" s="47"/>
      <c r="AH4" s="47"/>
      <c r="AI4" s="47"/>
      <c r="AJ4" s="47"/>
      <c r="AK4" s="47" t="s">
        <v>188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212</v>
      </c>
      <c r="AV4" s="47"/>
      <c r="AW4" s="47"/>
      <c r="AX4" s="47"/>
      <c r="AY4" s="144" t="s">
        <v>11</v>
      </c>
      <c r="AZ4" s="144" t="s">
        <v>293</v>
      </c>
      <c r="BA4" s="47"/>
      <c r="BB4" s="47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ht="12.75">
      <c r="A5" s="47"/>
      <c r="B5" s="47"/>
      <c r="C5" s="47" t="s">
        <v>92</v>
      </c>
      <c r="D5" s="47"/>
      <c r="E5" s="47"/>
      <c r="F5" s="47"/>
      <c r="G5" s="47"/>
      <c r="H5" s="47"/>
      <c r="I5" s="47"/>
      <c r="J5" s="47"/>
      <c r="K5" s="47"/>
      <c r="L5" s="47" t="s">
        <v>92</v>
      </c>
      <c r="M5" s="47"/>
      <c r="N5" s="47"/>
      <c r="O5" s="47"/>
      <c r="P5" s="47"/>
      <c r="Q5" s="47"/>
      <c r="R5" s="47"/>
      <c r="S5" s="47" t="s">
        <v>188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214</v>
      </c>
      <c r="AV5" s="51"/>
      <c r="AW5" s="51"/>
      <c r="AX5" s="51"/>
      <c r="AY5" s="51"/>
      <c r="AZ5" s="50" t="s">
        <v>215</v>
      </c>
      <c r="BA5" s="50" t="s">
        <v>216</v>
      </c>
      <c r="BB5" s="48" t="s">
        <v>201</v>
      </c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ht="12.75">
      <c r="A6" s="47"/>
      <c r="B6" s="47"/>
      <c r="C6" s="47"/>
      <c r="D6" s="167" t="s">
        <v>303</v>
      </c>
      <c r="E6" s="167"/>
      <c r="F6" s="47"/>
      <c r="G6" s="47"/>
      <c r="H6" s="47"/>
      <c r="I6" s="47"/>
      <c r="J6" s="47"/>
      <c r="K6" s="47"/>
      <c r="L6" s="47"/>
      <c r="M6" s="167" t="s">
        <v>303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217</v>
      </c>
      <c r="BA6" s="63" t="s">
        <v>76</v>
      </c>
      <c r="BB6" s="74" t="s">
        <v>14</v>
      </c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ht="12.75">
      <c r="A7" s="47" t="s">
        <v>265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77</v>
      </c>
      <c r="BA7" s="46"/>
      <c r="BB7" s="49" t="s">
        <v>15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ht="12.75">
      <c r="A8" s="47" t="s">
        <v>93</v>
      </c>
      <c r="B8" s="47"/>
      <c r="C8" s="47"/>
      <c r="D8" s="47"/>
      <c r="E8" s="47"/>
      <c r="F8" s="47"/>
      <c r="G8" s="47"/>
      <c r="H8" s="47"/>
      <c r="I8" s="47"/>
      <c r="J8" s="47" t="s">
        <v>265</v>
      </c>
      <c r="K8" s="47"/>
      <c r="L8" s="47"/>
      <c r="M8" s="47"/>
      <c r="N8" s="47"/>
      <c r="O8" s="47"/>
      <c r="P8" s="47"/>
      <c r="Q8" s="47"/>
      <c r="R8" s="47"/>
      <c r="S8" s="47" t="s">
        <v>199</v>
      </c>
      <c r="T8" s="47"/>
      <c r="U8" s="47"/>
      <c r="V8" s="47"/>
      <c r="W8" s="47"/>
      <c r="X8" s="47"/>
      <c r="Y8" s="47"/>
      <c r="Z8" s="47"/>
      <c r="AA8" s="47"/>
      <c r="AB8" s="47" t="s">
        <v>199</v>
      </c>
      <c r="AC8" s="47"/>
      <c r="AD8" s="47"/>
      <c r="AE8" s="47"/>
      <c r="AF8" s="47"/>
      <c r="AG8" s="47"/>
      <c r="AH8" s="47"/>
      <c r="AI8" s="47"/>
      <c r="AJ8" s="47"/>
      <c r="AK8" s="47" t="s">
        <v>199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14098421.8</v>
      </c>
      <c r="BA8" s="168"/>
      <c r="BB8" s="169">
        <f>BB9+BB14</f>
        <v>20600610.86794</v>
      </c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2.75">
      <c r="A9" s="47" t="s">
        <v>95</v>
      </c>
      <c r="B9" s="47"/>
      <c r="C9" s="47"/>
      <c r="D9" s="47"/>
      <c r="E9" s="47"/>
      <c r="F9" s="47" t="s">
        <v>94</v>
      </c>
      <c r="G9" s="47"/>
      <c r="H9" s="47"/>
      <c r="I9" s="47"/>
      <c r="J9" s="47" t="s">
        <v>93</v>
      </c>
      <c r="K9" s="47"/>
      <c r="L9" s="47"/>
      <c r="M9" s="47"/>
      <c r="N9" s="47"/>
      <c r="O9" s="47" t="s">
        <v>94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203</v>
      </c>
      <c r="AU9" s="146"/>
      <c r="AV9" s="146"/>
      <c r="AW9" s="146"/>
      <c r="AX9" s="51"/>
      <c r="AY9" s="52"/>
      <c r="AZ9" s="170">
        <f>AZ11+AZ12</f>
        <v>6470235</v>
      </c>
      <c r="BA9" s="171">
        <f>(BB12+BB11)/AZ9</f>
        <v>3.1835152017971526</v>
      </c>
      <c r="BB9" s="169">
        <f>BB10+BB11+BB12+BB13</f>
        <v>20598091.4817</v>
      </c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ht="12.75">
      <c r="A10" s="48" t="s">
        <v>190</v>
      </c>
      <c r="B10" s="73" t="s">
        <v>96</v>
      </c>
      <c r="C10" s="48" t="s">
        <v>97</v>
      </c>
      <c r="D10" s="116" t="s">
        <v>172</v>
      </c>
      <c r="E10" s="117"/>
      <c r="F10" s="48" t="s">
        <v>98</v>
      </c>
      <c r="G10" s="48" t="s">
        <v>213</v>
      </c>
      <c r="H10" s="48" t="s">
        <v>99</v>
      </c>
      <c r="I10" s="48" t="s">
        <v>89</v>
      </c>
      <c r="J10" s="47" t="s">
        <v>95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305</v>
      </c>
      <c r="Z10" s="47"/>
      <c r="AA10" s="47"/>
      <c r="AB10" s="47"/>
      <c r="AC10" s="47"/>
      <c r="AD10" s="47"/>
      <c r="AE10" s="47"/>
      <c r="AF10" s="47"/>
      <c r="AG10" s="47"/>
      <c r="AH10" s="167" t="s">
        <v>305</v>
      </c>
      <c r="AI10" s="47"/>
      <c r="AJ10" s="47"/>
      <c r="AK10" s="47"/>
      <c r="AL10" s="47"/>
      <c r="AM10" s="47"/>
      <c r="AN10" s="47"/>
      <c r="AO10" s="47"/>
      <c r="AP10" s="47"/>
      <c r="AQ10" s="167" t="s">
        <v>305</v>
      </c>
      <c r="AR10" s="47"/>
      <c r="AS10" s="47"/>
      <c r="AT10" s="50" t="s">
        <v>78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ht="12.75">
      <c r="A11" s="74"/>
      <c r="B11" s="74"/>
      <c r="C11" s="74"/>
      <c r="D11" s="48" t="s">
        <v>100</v>
      </c>
      <c r="E11" s="50" t="s">
        <v>101</v>
      </c>
      <c r="F11" s="74" t="s">
        <v>102</v>
      </c>
      <c r="G11" s="74" t="s">
        <v>88</v>
      </c>
      <c r="H11" s="74"/>
      <c r="I11" s="74" t="s">
        <v>103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79</v>
      </c>
      <c r="AU11" s="51"/>
      <c r="AV11" s="51"/>
      <c r="AW11" s="51"/>
      <c r="AX11" s="51"/>
      <c r="AY11" s="52"/>
      <c r="AZ11" s="60">
        <f>I81+I73</f>
        <v>5440</v>
      </c>
      <c r="BA11" s="175">
        <v>4.91285</v>
      </c>
      <c r="BB11" s="174">
        <f>AZ11*BA11</f>
        <v>26725.904</v>
      </c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ht="12.75">
      <c r="A12" s="49"/>
      <c r="B12" s="49"/>
      <c r="C12" s="49"/>
      <c r="D12" s="49" t="s">
        <v>104</v>
      </c>
      <c r="E12" s="46" t="s">
        <v>104</v>
      </c>
      <c r="F12" s="49" t="s">
        <v>105</v>
      </c>
      <c r="G12" s="49"/>
      <c r="H12" s="49"/>
      <c r="I12" s="49"/>
      <c r="J12" s="48" t="s">
        <v>190</v>
      </c>
      <c r="K12" s="73" t="s">
        <v>96</v>
      </c>
      <c r="L12" s="48" t="s">
        <v>97</v>
      </c>
      <c r="M12" s="116" t="s">
        <v>229</v>
      </c>
      <c r="N12" s="117"/>
      <c r="O12" s="48" t="s">
        <v>98</v>
      </c>
      <c r="P12" s="48" t="s">
        <v>213</v>
      </c>
      <c r="Q12" s="48" t="s">
        <v>99</v>
      </c>
      <c r="R12" s="48" t="s">
        <v>89</v>
      </c>
      <c r="S12" s="48" t="s">
        <v>190</v>
      </c>
      <c r="T12" s="50" t="s">
        <v>191</v>
      </c>
      <c r="U12" s="51"/>
      <c r="V12" s="52"/>
      <c r="W12" s="45" t="s">
        <v>192</v>
      </c>
      <c r="X12" s="55"/>
      <c r="Y12" s="55"/>
      <c r="Z12" s="55"/>
      <c r="AA12" s="56"/>
      <c r="AB12" s="48" t="s">
        <v>190</v>
      </c>
      <c r="AC12" s="50" t="s">
        <v>191</v>
      </c>
      <c r="AD12" s="51"/>
      <c r="AE12" s="52"/>
      <c r="AF12" s="45" t="s">
        <v>192</v>
      </c>
      <c r="AG12" s="55"/>
      <c r="AH12" s="55"/>
      <c r="AI12" s="55"/>
      <c r="AJ12" s="56"/>
      <c r="AK12" s="48" t="s">
        <v>190</v>
      </c>
      <c r="AL12" s="50" t="s">
        <v>191</v>
      </c>
      <c r="AM12" s="51"/>
      <c r="AN12" s="52"/>
      <c r="AO12" s="45" t="s">
        <v>192</v>
      </c>
      <c r="AP12" s="55"/>
      <c r="AQ12" s="55"/>
      <c r="AR12" s="55"/>
      <c r="AS12" s="56"/>
      <c r="AT12" s="50" t="s">
        <v>80</v>
      </c>
      <c r="AU12" s="51"/>
      <c r="AV12" s="51"/>
      <c r="AW12" s="51"/>
      <c r="AX12" s="51"/>
      <c r="AY12" s="52"/>
      <c r="AZ12" s="170">
        <f>I75</f>
        <v>6464795</v>
      </c>
      <c r="BA12" s="176">
        <v>3.18206</v>
      </c>
      <c r="BB12" s="174">
        <f>AZ12*BA12</f>
        <v>20571365.5777</v>
      </c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100</v>
      </c>
      <c r="N13" s="50" t="s">
        <v>101</v>
      </c>
      <c r="O13" s="74" t="s">
        <v>102</v>
      </c>
      <c r="P13" s="74" t="s">
        <v>88</v>
      </c>
      <c r="Q13" s="74"/>
      <c r="R13" s="74" t="s">
        <v>103</v>
      </c>
      <c r="S13" s="49"/>
      <c r="T13" s="46"/>
      <c r="U13" s="53"/>
      <c r="V13" s="54"/>
      <c r="W13" s="57" t="s">
        <v>193</v>
      </c>
      <c r="X13" s="57" t="s">
        <v>194</v>
      </c>
      <c r="Y13" s="57" t="s">
        <v>195</v>
      </c>
      <c r="Z13" s="57" t="s">
        <v>196</v>
      </c>
      <c r="AA13" s="57" t="s">
        <v>197</v>
      </c>
      <c r="AB13" s="49"/>
      <c r="AC13" s="46"/>
      <c r="AD13" s="53"/>
      <c r="AE13" s="54"/>
      <c r="AF13" s="57" t="s">
        <v>193</v>
      </c>
      <c r="AG13" s="57" t="s">
        <v>194</v>
      </c>
      <c r="AH13" s="57" t="s">
        <v>195</v>
      </c>
      <c r="AI13" s="57" t="s">
        <v>196</v>
      </c>
      <c r="AJ13" s="57" t="s">
        <v>197</v>
      </c>
      <c r="AK13" s="49"/>
      <c r="AL13" s="46"/>
      <c r="AM13" s="53"/>
      <c r="AN13" s="54"/>
      <c r="AO13" s="57" t="s">
        <v>193</v>
      </c>
      <c r="AP13" s="57" t="s">
        <v>194</v>
      </c>
      <c r="AQ13" s="57" t="s">
        <v>195</v>
      </c>
      <c r="AR13" s="57" t="s">
        <v>196</v>
      </c>
      <c r="AS13" s="57" t="s">
        <v>197</v>
      </c>
      <c r="AT13" s="45" t="s">
        <v>73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ht="12.75">
      <c r="A14" s="46"/>
      <c r="B14" s="53"/>
      <c r="C14" s="209" t="s">
        <v>106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104</v>
      </c>
      <c r="N14" s="46" t="s">
        <v>104</v>
      </c>
      <c r="O14" s="49" t="s">
        <v>105</v>
      </c>
      <c r="P14" s="49"/>
      <c r="Q14" s="49"/>
      <c r="R14" s="49"/>
      <c r="S14" s="57">
        <v>1</v>
      </c>
      <c r="T14" s="44" t="s">
        <v>64</v>
      </c>
      <c r="U14" s="44"/>
      <c r="V14" s="44"/>
      <c r="W14" s="60">
        <f aca="true" t="shared" si="0" ref="W14:W25">SUM(X14:AA14)</f>
        <v>7339606</v>
      </c>
      <c r="X14" s="60">
        <f>SUM(X15:X26)</f>
        <v>6271367</v>
      </c>
      <c r="Y14" s="60">
        <f>SUM(Y15:Y27)</f>
        <v>0</v>
      </c>
      <c r="Z14" s="60">
        <f>SUM(Z15:Z26)</f>
        <v>1068239</v>
      </c>
      <c r="AA14" s="57">
        <f>SUM(AA15:AA27)</f>
        <v>0</v>
      </c>
      <c r="AB14" s="57"/>
      <c r="AC14" s="44" t="s">
        <v>43</v>
      </c>
      <c r="AD14" s="44"/>
      <c r="AE14" s="44"/>
      <c r="AF14" s="67">
        <f>SUM(AG14:AJ14)</f>
        <v>204515</v>
      </c>
      <c r="AG14" s="60">
        <f>SUM(AG16:AG22)</f>
        <v>195193</v>
      </c>
      <c r="AH14" s="60">
        <f>SUM(AH16:AH22)</f>
        <v>0</v>
      </c>
      <c r="AI14" s="60">
        <f>SUM(AI16:AI22)</f>
        <v>9322</v>
      </c>
      <c r="AJ14" s="57">
        <f>SUM(AJ16:AJ22)</f>
        <v>0</v>
      </c>
      <c r="AK14" s="73">
        <v>1</v>
      </c>
      <c r="AL14" s="48" t="s">
        <v>43</v>
      </c>
      <c r="AM14" s="48"/>
      <c r="AN14" s="48"/>
      <c r="AO14" s="75">
        <f>SUM(AP14:AS14)</f>
        <v>84054</v>
      </c>
      <c r="AP14" s="75">
        <f>SUM(AP16:AP17)</f>
        <v>0</v>
      </c>
      <c r="AQ14" s="75">
        <f>SUM(AQ16:AQ17)</f>
        <v>0</v>
      </c>
      <c r="AR14" s="75">
        <f>ROUND(SUM(AR16:AR20),0)</f>
        <v>84054</v>
      </c>
      <c r="AS14" s="73">
        <f>SUM(AS16:AS17)</f>
        <v>0</v>
      </c>
      <c r="AT14" s="49" t="s">
        <v>219</v>
      </c>
      <c r="AU14" s="49"/>
      <c r="AV14" s="49"/>
      <c r="AW14" s="49"/>
      <c r="AX14" s="49"/>
      <c r="AY14" s="49"/>
      <c r="AZ14" s="170">
        <f>SUM(AZ15:AZ21)</f>
        <v>599</v>
      </c>
      <c r="BA14" s="177"/>
      <c r="BB14" s="174">
        <f>SUM(BB15:BB21)</f>
        <v>2519.38624</v>
      </c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12.75">
      <c r="A15" s="46"/>
      <c r="B15" s="45" t="s">
        <v>258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50</v>
      </c>
      <c r="T15" s="50" t="s">
        <v>28</v>
      </c>
      <c r="U15" s="51"/>
      <c r="V15" s="51"/>
      <c r="W15" s="67">
        <f t="shared" si="0"/>
        <v>3998440</v>
      </c>
      <c r="X15" s="88">
        <f>ROUND(I20,0)</f>
        <v>3998440</v>
      </c>
      <c r="Y15" s="73">
        <v>0</v>
      </c>
      <c r="Z15" s="73">
        <v>0</v>
      </c>
      <c r="AA15" s="73">
        <v>0</v>
      </c>
      <c r="AB15" s="73">
        <v>1</v>
      </c>
      <c r="AC15" s="50" t="s">
        <v>278</v>
      </c>
      <c r="AD15" s="51"/>
      <c r="AE15" s="52"/>
      <c r="AF15" s="66"/>
      <c r="AG15" s="69"/>
      <c r="AH15" s="69"/>
      <c r="AI15" s="69"/>
      <c r="AJ15" s="192"/>
      <c r="AK15" s="208"/>
      <c r="AL15" s="50" t="s">
        <v>280</v>
      </c>
      <c r="AM15" s="51"/>
      <c r="AN15" s="52"/>
      <c r="AO15" s="75"/>
      <c r="AP15" s="73"/>
      <c r="AQ15" s="73"/>
      <c r="AR15" s="75"/>
      <c r="AS15" s="73"/>
      <c r="AT15" s="52" t="s">
        <v>74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ht="12.75">
      <c r="A16" s="73">
        <v>1</v>
      </c>
      <c r="B16" s="48" t="s">
        <v>146</v>
      </c>
      <c r="C16" s="90">
        <v>804152757</v>
      </c>
      <c r="D16" s="121">
        <v>5178.2875</v>
      </c>
      <c r="E16" s="121">
        <v>5290.3634</v>
      </c>
      <c r="F16" s="60">
        <v>36000</v>
      </c>
      <c r="G16" s="142">
        <f>E16-D16</f>
        <v>112.07589999999982</v>
      </c>
      <c r="H16" s="44"/>
      <c r="I16" s="60">
        <f>ROUND((F16*G16+H16),0)</f>
        <v>4034732</v>
      </c>
      <c r="J16" s="46"/>
      <c r="K16" s="53"/>
      <c r="L16" s="53" t="s">
        <v>106</v>
      </c>
      <c r="M16" s="53"/>
      <c r="N16" s="53"/>
      <c r="O16" s="53"/>
      <c r="P16" s="53"/>
      <c r="Q16" s="53"/>
      <c r="R16" s="54"/>
      <c r="S16" s="61" t="s">
        <v>51</v>
      </c>
      <c r="T16" s="63" t="s">
        <v>29</v>
      </c>
      <c r="U16" s="64"/>
      <c r="V16" s="64"/>
      <c r="W16" s="67">
        <f t="shared" si="0"/>
        <v>197566</v>
      </c>
      <c r="X16" s="81">
        <f>ROUND(I27,0)</f>
        <v>197566</v>
      </c>
      <c r="Y16" s="70">
        <v>0</v>
      </c>
      <c r="Z16" s="67">
        <v>0</v>
      </c>
      <c r="AA16" s="70">
        <v>0</v>
      </c>
      <c r="AB16" s="61" t="s">
        <v>50</v>
      </c>
      <c r="AC16" s="63" t="s">
        <v>198</v>
      </c>
      <c r="AD16" s="64"/>
      <c r="AE16" s="65"/>
      <c r="AF16" s="67">
        <f>AG16+AH16+AI16+AJ16</f>
        <v>195193</v>
      </c>
      <c r="AG16" s="67">
        <v>195193</v>
      </c>
      <c r="AH16" s="70">
        <v>0</v>
      </c>
      <c r="AI16" s="67">
        <v>0</v>
      </c>
      <c r="AJ16" s="87">
        <v>0</v>
      </c>
      <c r="AK16" s="61" t="s">
        <v>50</v>
      </c>
      <c r="AL16" s="63" t="s">
        <v>16</v>
      </c>
      <c r="AM16" s="64"/>
      <c r="AN16" s="65"/>
      <c r="AO16" s="67">
        <f>AP16+AQ16+AR16+AS16</f>
        <v>232</v>
      </c>
      <c r="AP16" s="70">
        <v>0</v>
      </c>
      <c r="AQ16" s="70">
        <v>0</v>
      </c>
      <c r="AR16" s="67">
        <v>232</v>
      </c>
      <c r="AS16" s="70">
        <v>0</v>
      </c>
      <c r="AT16" s="52" t="s">
        <v>74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2.75">
      <c r="A17" s="49"/>
      <c r="B17" s="46" t="s">
        <v>147</v>
      </c>
      <c r="C17" s="106">
        <v>109054169</v>
      </c>
      <c r="D17" s="121">
        <v>7930.4065</v>
      </c>
      <c r="E17" s="121">
        <v>8096.3993</v>
      </c>
      <c r="F17" s="60">
        <v>36000</v>
      </c>
      <c r="G17" s="142">
        <f>E17-D17</f>
        <v>165.9928</v>
      </c>
      <c r="H17" s="44"/>
      <c r="I17" s="60">
        <f>F17*G17+H17</f>
        <v>5975740.8</v>
      </c>
      <c r="J17" s="44"/>
      <c r="K17" s="45" t="s">
        <v>107</v>
      </c>
      <c r="L17" s="55"/>
      <c r="M17" s="55"/>
      <c r="N17" s="55"/>
      <c r="O17" s="55"/>
      <c r="P17" s="55"/>
      <c r="Q17" s="55"/>
      <c r="R17" s="56"/>
      <c r="S17" s="61" t="s">
        <v>52</v>
      </c>
      <c r="T17" s="63" t="s">
        <v>30</v>
      </c>
      <c r="U17" s="64"/>
      <c r="V17" s="64"/>
      <c r="W17" s="67">
        <f t="shared" si="0"/>
        <v>293549</v>
      </c>
      <c r="X17" s="81">
        <f>ROUND(I29,0)</f>
        <v>293549</v>
      </c>
      <c r="Y17" s="70">
        <v>0</v>
      </c>
      <c r="Z17" s="67">
        <v>0</v>
      </c>
      <c r="AA17" s="70">
        <v>0</v>
      </c>
      <c r="AB17" s="61" t="s">
        <v>51</v>
      </c>
      <c r="AC17" s="63" t="s">
        <v>72</v>
      </c>
      <c r="AD17" s="64"/>
      <c r="AE17" s="65"/>
      <c r="AF17" s="67">
        <f>AG17+AH17+AI17+AJ17</f>
        <v>2283</v>
      </c>
      <c r="AG17" s="70">
        <v>0</v>
      </c>
      <c r="AH17" s="70">
        <v>0</v>
      </c>
      <c r="AI17" s="67">
        <v>2283</v>
      </c>
      <c r="AJ17" s="87">
        <v>0</v>
      </c>
      <c r="AK17" s="61" t="s">
        <v>51</v>
      </c>
      <c r="AL17" s="63" t="s">
        <v>166</v>
      </c>
      <c r="AM17" s="64"/>
      <c r="AN17" s="65"/>
      <c r="AO17" s="67">
        <f>AP17+AQ17+AR17+AS17</f>
        <v>2906</v>
      </c>
      <c r="AP17" s="70">
        <v>0</v>
      </c>
      <c r="AQ17" s="70">
        <v>0</v>
      </c>
      <c r="AR17" s="67">
        <v>2906</v>
      </c>
      <c r="AS17" s="70">
        <v>0</v>
      </c>
      <c r="AT17" s="51" t="s">
        <v>46</v>
      </c>
      <c r="AU17" s="51"/>
      <c r="AV17" s="51"/>
      <c r="AW17" s="51"/>
      <c r="AX17" s="51"/>
      <c r="AY17" s="52"/>
      <c r="AZ17" s="170">
        <f>R21</f>
        <v>360</v>
      </c>
      <c r="BA17" s="180">
        <v>3.41</v>
      </c>
      <c r="BB17" s="174">
        <f>AZ17*BA17</f>
        <v>1227.6000000000001</v>
      </c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ht="12.75">
      <c r="A18" s="45"/>
      <c r="B18" s="55"/>
      <c r="C18" s="53"/>
      <c r="D18" s="55"/>
      <c r="E18" s="55"/>
      <c r="F18" s="107" t="s">
        <v>109</v>
      </c>
      <c r="G18" s="55"/>
      <c r="H18" s="56"/>
      <c r="I18" s="60">
        <f>ROUND((I16+I17+I22),0)</f>
        <v>10094542</v>
      </c>
      <c r="J18" s="57">
        <v>1</v>
      </c>
      <c r="K18" s="45" t="s">
        <v>108</v>
      </c>
      <c r="L18" s="55"/>
      <c r="M18" s="55"/>
      <c r="N18" s="55"/>
      <c r="O18" s="55"/>
      <c r="P18" s="55"/>
      <c r="Q18" s="55"/>
      <c r="R18" s="56"/>
      <c r="S18" s="61" t="s">
        <v>53</v>
      </c>
      <c r="T18" s="63" t="s">
        <v>31</v>
      </c>
      <c r="U18" s="64"/>
      <c r="V18" s="64"/>
      <c r="W18" s="67">
        <f t="shared" si="0"/>
        <v>251162</v>
      </c>
      <c r="X18" s="81">
        <f>ROUND(I31,0)</f>
        <v>251162</v>
      </c>
      <c r="Y18" s="70">
        <v>0</v>
      </c>
      <c r="Z18" s="67">
        <v>0</v>
      </c>
      <c r="AA18" s="70">
        <v>0</v>
      </c>
      <c r="AB18" s="62" t="s">
        <v>52</v>
      </c>
      <c r="AC18" s="53" t="s">
        <v>61</v>
      </c>
      <c r="AD18" s="53"/>
      <c r="AE18" s="53"/>
      <c r="AF18" s="68">
        <f>AG18+AH18+AI18+AJ18</f>
        <v>7039</v>
      </c>
      <c r="AG18" s="71">
        <v>0</v>
      </c>
      <c r="AH18" s="71">
        <v>0</v>
      </c>
      <c r="AI18" s="68">
        <v>7039</v>
      </c>
      <c r="AJ18" s="207">
        <v>0</v>
      </c>
      <c r="AK18" s="61" t="s">
        <v>52</v>
      </c>
      <c r="AL18" s="63" t="s">
        <v>42</v>
      </c>
      <c r="AM18" s="64"/>
      <c r="AN18" s="65"/>
      <c r="AO18" s="67">
        <f>AP18+AQ18+AR18+AS18</f>
        <v>64874</v>
      </c>
      <c r="AP18" s="70">
        <v>0</v>
      </c>
      <c r="AQ18" s="70">
        <v>0</v>
      </c>
      <c r="AR18" s="67">
        <v>64874</v>
      </c>
      <c r="AS18" s="70">
        <v>0</v>
      </c>
      <c r="AT18" s="51" t="s">
        <v>47</v>
      </c>
      <c r="AU18" s="51"/>
      <c r="AV18" s="51"/>
      <c r="AW18" s="51"/>
      <c r="AX18" s="51"/>
      <c r="AY18" s="52"/>
      <c r="AZ18" s="170">
        <f>R22</f>
        <v>40</v>
      </c>
      <c r="BA18" s="180">
        <v>1.62</v>
      </c>
      <c r="BB18" s="174">
        <f>AZ18*BA18</f>
        <v>64.80000000000001</v>
      </c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ht="12.75">
      <c r="A19" s="44" t="s">
        <v>110</v>
      </c>
      <c r="B19" s="45" t="s">
        <v>230</v>
      </c>
      <c r="C19" s="55"/>
      <c r="D19" s="55"/>
      <c r="E19" s="55"/>
      <c r="F19" s="55"/>
      <c r="G19" s="55"/>
      <c r="H19" s="55"/>
      <c r="I19" s="56"/>
      <c r="J19" s="73" t="s">
        <v>110</v>
      </c>
      <c r="K19" s="48" t="s">
        <v>176</v>
      </c>
      <c r="L19" s="73">
        <v>16654</v>
      </c>
      <c r="M19" s="124">
        <v>6426</v>
      </c>
      <c r="N19" s="124">
        <v>6625</v>
      </c>
      <c r="O19" s="73">
        <v>1</v>
      </c>
      <c r="P19" s="148">
        <f>N19-M19</f>
        <v>199</v>
      </c>
      <c r="Q19" s="149"/>
      <c r="R19" s="75">
        <f>O19*P19+Q19</f>
        <v>199</v>
      </c>
      <c r="S19" s="61" t="s">
        <v>58</v>
      </c>
      <c r="T19" s="63" t="s">
        <v>32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53</v>
      </c>
      <c r="AL19" s="63" t="s">
        <v>63</v>
      </c>
      <c r="AM19" s="64"/>
      <c r="AN19" s="65"/>
      <c r="AO19" s="67">
        <f>AP19+AQ19+AR19+AS19</f>
        <v>839</v>
      </c>
      <c r="AP19" s="67">
        <v>0</v>
      </c>
      <c r="AQ19" s="70">
        <v>0</v>
      </c>
      <c r="AR19" s="67">
        <v>839</v>
      </c>
      <c r="AS19" s="70">
        <v>0</v>
      </c>
      <c r="AT19" s="51" t="s">
        <v>81</v>
      </c>
      <c r="AU19" s="51"/>
      <c r="AV19" s="51"/>
      <c r="AW19" s="51"/>
      <c r="AX19" s="51"/>
      <c r="AY19" s="52"/>
      <c r="AZ19" s="181">
        <f>R19+R20</f>
        <v>199</v>
      </c>
      <c r="BA19" s="175">
        <v>6.16576</v>
      </c>
      <c r="BB19" s="174">
        <f>AZ19*BA19</f>
        <v>1226.98624</v>
      </c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12.75">
      <c r="A20" s="44" t="s">
        <v>112</v>
      </c>
      <c r="B20" s="44" t="s">
        <v>113</v>
      </c>
      <c r="C20" s="106">
        <v>109053225</v>
      </c>
      <c r="D20" s="121">
        <v>19743.9985</v>
      </c>
      <c r="E20" s="121">
        <v>19934.4004</v>
      </c>
      <c r="F20" s="60">
        <v>21000</v>
      </c>
      <c r="G20" s="142">
        <f>E20-D20</f>
        <v>190.4018999999971</v>
      </c>
      <c r="H20" s="44"/>
      <c r="I20" s="60">
        <f>ROUND((F20*G20+H20),0)</f>
        <v>3998440</v>
      </c>
      <c r="J20" s="49"/>
      <c r="K20" s="49" t="s">
        <v>177</v>
      </c>
      <c r="L20" s="49"/>
      <c r="M20" s="49"/>
      <c r="N20" s="49"/>
      <c r="O20" s="49"/>
      <c r="P20" s="80"/>
      <c r="Q20" s="150"/>
      <c r="R20" s="166"/>
      <c r="S20" s="61" t="s">
        <v>62</v>
      </c>
      <c r="T20" s="63" t="s">
        <v>33</v>
      </c>
      <c r="U20" s="64"/>
      <c r="V20" s="64"/>
      <c r="W20" s="67">
        <f t="shared" si="0"/>
        <v>676491</v>
      </c>
      <c r="X20" s="81">
        <f>ROUND(I35,0)</f>
        <v>676491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58</v>
      </c>
      <c r="AL20" s="46" t="s">
        <v>279</v>
      </c>
      <c r="AM20" s="53"/>
      <c r="AN20" s="54"/>
      <c r="AO20" s="68">
        <f>AP20+AQ20+AR20+AS20</f>
        <v>15203</v>
      </c>
      <c r="AP20" s="68"/>
      <c r="AQ20" s="71"/>
      <c r="AR20" s="68">
        <v>15203</v>
      </c>
      <c r="AS20" s="71"/>
      <c r="AT20" s="51" t="s">
        <v>218</v>
      </c>
      <c r="AU20" s="51"/>
      <c r="AV20" s="51"/>
      <c r="AW20" s="51"/>
      <c r="AX20" s="51"/>
      <c r="AY20" s="52"/>
      <c r="AZ20" s="170"/>
      <c r="BA20" s="180"/>
      <c r="BB20" s="169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ht="12.75">
      <c r="A21" s="44" t="s">
        <v>259</v>
      </c>
      <c r="B21" s="55" t="s">
        <v>262</v>
      </c>
      <c r="C21" s="53"/>
      <c r="D21" s="55"/>
      <c r="E21" s="55"/>
      <c r="F21" s="107"/>
      <c r="G21" s="55"/>
      <c r="H21" s="56"/>
      <c r="I21" s="60"/>
      <c r="J21" s="48" t="s">
        <v>116</v>
      </c>
      <c r="K21" s="48" t="s">
        <v>179</v>
      </c>
      <c r="L21" s="225">
        <v>122848480</v>
      </c>
      <c r="M21" s="224">
        <v>558</v>
      </c>
      <c r="N21" s="224">
        <v>576</v>
      </c>
      <c r="O21" s="57">
        <v>20</v>
      </c>
      <c r="P21" s="223">
        <f>N21-M21</f>
        <v>18</v>
      </c>
      <c r="Q21" s="151"/>
      <c r="R21" s="60">
        <f>O21*P21+Q21</f>
        <v>360</v>
      </c>
      <c r="S21" s="61" t="s">
        <v>65</v>
      </c>
      <c r="T21" s="63" t="s">
        <v>34</v>
      </c>
      <c r="U21" s="64"/>
      <c r="V21" s="64"/>
      <c r="W21" s="67">
        <f t="shared" si="0"/>
        <v>198567</v>
      </c>
      <c r="X21" s="81">
        <f>ROUND(I37,0)</f>
        <v>198567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113" ht="12.75">
      <c r="A22" s="44" t="s">
        <v>260</v>
      </c>
      <c r="B22" s="45" t="s">
        <v>263</v>
      </c>
      <c r="C22" s="55"/>
      <c r="D22" s="55"/>
      <c r="E22" s="55"/>
      <c r="F22" s="55"/>
      <c r="G22" s="55"/>
      <c r="H22" s="56"/>
      <c r="I22" s="170">
        <v>84069</v>
      </c>
      <c r="J22" s="49"/>
      <c r="K22" s="49" t="s">
        <v>178</v>
      </c>
      <c r="L22" s="225">
        <v>122848480</v>
      </c>
      <c r="M22" s="224">
        <v>151</v>
      </c>
      <c r="N22" s="224">
        <v>153</v>
      </c>
      <c r="O22" s="57">
        <v>20</v>
      </c>
      <c r="P22" s="223">
        <f>N22-M22</f>
        <v>2</v>
      </c>
      <c r="Q22" s="151"/>
      <c r="R22" s="60">
        <f>O22*P22+Q22</f>
        <v>40</v>
      </c>
      <c r="S22" s="61" t="s">
        <v>66</v>
      </c>
      <c r="T22" s="63" t="s">
        <v>35</v>
      </c>
      <c r="U22" s="64"/>
      <c r="V22" s="64"/>
      <c r="W22" s="67">
        <f t="shared" si="0"/>
        <v>655592</v>
      </c>
      <c r="X22" s="81">
        <f>ROUND(I39,0)</f>
        <v>655592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1:113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164</v>
      </c>
      <c r="Q23" s="137"/>
      <c r="R23" s="60">
        <f>R19+R21+R22+R20</f>
        <v>599</v>
      </c>
      <c r="S23" s="61" t="s">
        <v>67</v>
      </c>
      <c r="T23" s="63" t="s">
        <v>36</v>
      </c>
      <c r="U23" s="64"/>
      <c r="V23" s="64"/>
      <c r="W23" s="67">
        <f t="shared" si="0"/>
        <v>812479</v>
      </c>
      <c r="X23" s="81">
        <v>0</v>
      </c>
      <c r="Y23" s="70">
        <v>0</v>
      </c>
      <c r="Z23" s="67">
        <f>I26+I25</f>
        <v>812479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1:113" ht="12.75">
      <c r="A24" s="44" t="s">
        <v>116</v>
      </c>
      <c r="B24" s="46" t="s">
        <v>117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68</v>
      </c>
      <c r="T24" s="64" t="s">
        <v>37</v>
      </c>
      <c r="U24" s="64"/>
      <c r="V24" s="64"/>
      <c r="W24" s="67">
        <f t="shared" si="0"/>
        <v>35201</v>
      </c>
      <c r="X24" s="81">
        <v>0</v>
      </c>
      <c r="Y24" s="70">
        <v>0</v>
      </c>
      <c r="Z24" s="67">
        <f>I41</f>
        <v>35201</v>
      </c>
      <c r="AA24" s="70">
        <v>0</v>
      </c>
      <c r="AB24" s="58"/>
      <c r="AC24" s="47" t="s">
        <v>87</v>
      </c>
      <c r="AD24" s="47"/>
      <c r="AE24" s="47"/>
      <c r="AF24" s="59"/>
      <c r="AG24" s="59"/>
      <c r="AH24" s="59"/>
      <c r="AI24" s="59"/>
      <c r="AJ24" s="59"/>
      <c r="AK24" s="58"/>
      <c r="AL24" s="47" t="s">
        <v>167</v>
      </c>
      <c r="AM24" s="47"/>
      <c r="AN24" s="47"/>
      <c r="AO24" s="59"/>
      <c r="AP24" s="59"/>
      <c r="AQ24" s="59"/>
      <c r="AR24" s="59"/>
      <c r="AS24" s="59"/>
      <c r="AT24" s="152" t="s">
        <v>45</v>
      </c>
      <c r="AU24" s="135"/>
      <c r="AV24" s="135"/>
      <c r="AW24" s="135"/>
      <c r="AX24" s="135"/>
      <c r="AY24" s="153"/>
      <c r="AZ24" s="184"/>
      <c r="BA24" s="177"/>
      <c r="BB24" s="174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1:113" ht="12.75">
      <c r="A25" s="48" t="s">
        <v>118</v>
      </c>
      <c r="B25" s="48" t="s">
        <v>121</v>
      </c>
      <c r="C25" s="90"/>
      <c r="D25" s="212"/>
      <c r="E25" s="212"/>
      <c r="F25" s="68"/>
      <c r="G25" s="213"/>
      <c r="H25" s="68"/>
      <c r="I25" s="68"/>
      <c r="J25" s="63" t="s">
        <v>165</v>
      </c>
      <c r="K25" s="64"/>
      <c r="L25" s="64"/>
      <c r="M25" s="64"/>
      <c r="N25" s="64"/>
      <c r="O25" s="64"/>
      <c r="P25" s="85"/>
      <c r="Q25" s="128"/>
      <c r="R25" s="141"/>
      <c r="S25" s="61" t="s">
        <v>69</v>
      </c>
      <c r="T25" s="64" t="s">
        <v>38</v>
      </c>
      <c r="U25" s="64"/>
      <c r="V25" s="64"/>
      <c r="W25" s="67">
        <f t="shared" si="0"/>
        <v>186956</v>
      </c>
      <c r="X25" s="81">
        <v>0</v>
      </c>
      <c r="Y25" s="70">
        <v>0</v>
      </c>
      <c r="Z25" s="67">
        <f>I43</f>
        <v>186956</v>
      </c>
      <c r="AA25" s="70">
        <v>0</v>
      </c>
      <c r="AB25" s="58"/>
      <c r="AC25" s="47" t="s">
        <v>270</v>
      </c>
      <c r="AD25" s="47"/>
      <c r="AE25" s="47"/>
      <c r="AF25" s="47"/>
      <c r="AG25" s="47"/>
      <c r="AH25" s="47"/>
      <c r="AI25" s="47"/>
      <c r="AJ25" s="47"/>
      <c r="AK25" s="58"/>
      <c r="AL25" s="47" t="s">
        <v>270</v>
      </c>
      <c r="AM25" s="47"/>
      <c r="AN25" s="47"/>
      <c r="AO25" s="47"/>
      <c r="AP25" s="47"/>
      <c r="AQ25" s="47"/>
      <c r="AR25" s="47"/>
      <c r="AS25" s="47"/>
      <c r="AT25" s="46" t="s">
        <v>82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1:113" ht="12.75">
      <c r="A26" s="49"/>
      <c r="B26" s="49" t="s">
        <v>119</v>
      </c>
      <c r="C26" s="91">
        <v>109056121</v>
      </c>
      <c r="D26" s="212">
        <v>22102.7864</v>
      </c>
      <c r="E26" s="212">
        <v>22272.0528</v>
      </c>
      <c r="F26" s="68">
        <v>4800</v>
      </c>
      <c r="G26" s="213">
        <f aca="true" t="shared" si="1" ref="G26:G43">E26-D26</f>
        <v>169.26640000000043</v>
      </c>
      <c r="H26" s="68"/>
      <c r="I26" s="68">
        <f>ROUND(F26*G26+H26,0)</f>
        <v>812479</v>
      </c>
      <c r="J26" s="114" t="s">
        <v>290</v>
      </c>
      <c r="K26" s="115"/>
      <c r="L26" s="115"/>
      <c r="M26" s="86"/>
      <c r="N26" s="53"/>
      <c r="O26" s="53"/>
      <c r="P26" s="53"/>
      <c r="Q26" s="53"/>
      <c r="R26" s="102"/>
      <c r="S26" s="62" t="s">
        <v>70</v>
      </c>
      <c r="T26" s="53" t="s">
        <v>39</v>
      </c>
      <c r="U26" s="53"/>
      <c r="V26" s="53"/>
      <c r="W26" s="68">
        <f>SUM(X26:AA26)</f>
        <v>33603</v>
      </c>
      <c r="X26" s="82">
        <v>0</v>
      </c>
      <c r="Y26" s="71">
        <v>0</v>
      </c>
      <c r="Z26" s="68">
        <f>I45+I46</f>
        <v>33603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83</v>
      </c>
      <c r="AU26" s="55"/>
      <c r="AV26" s="55"/>
      <c r="AW26" s="55"/>
      <c r="AX26" s="64"/>
      <c r="AY26" s="65"/>
      <c r="AZ26" s="185">
        <f>(X14+AG14+AP14)/1000</f>
        <v>6466.56</v>
      </c>
      <c r="BA26" s="169">
        <v>16</v>
      </c>
      <c r="BB26" s="174">
        <f>AZ26*BA26</f>
        <v>103464.96</v>
      </c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1:113" ht="12.75">
      <c r="A27" s="48" t="s">
        <v>120</v>
      </c>
      <c r="B27" s="48" t="s">
        <v>132</v>
      </c>
      <c r="C27" s="90">
        <v>623125232</v>
      </c>
      <c r="D27" s="214">
        <v>9329.3744</v>
      </c>
      <c r="E27" s="214">
        <v>9439.1331</v>
      </c>
      <c r="F27" s="75">
        <v>1800</v>
      </c>
      <c r="G27" s="215">
        <f t="shared" si="1"/>
        <v>109.7586999999985</v>
      </c>
      <c r="H27" s="73"/>
      <c r="I27" s="75">
        <f>ROUND(G27*F27,0)</f>
        <v>197566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84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1:113" ht="12.75">
      <c r="A28" s="49"/>
      <c r="B28" s="49" t="s">
        <v>119</v>
      </c>
      <c r="C28" s="71"/>
      <c r="D28" s="119"/>
      <c r="E28" s="119"/>
      <c r="F28" s="68"/>
      <c r="G28" s="118"/>
      <c r="H28" s="71"/>
      <c r="I28" s="68"/>
      <c r="J28" s="64" t="s">
        <v>168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224</v>
      </c>
      <c r="AC28" s="47"/>
      <c r="AD28" s="47"/>
      <c r="AE28" s="47"/>
      <c r="AF28" s="47"/>
      <c r="AG28" s="47" t="s">
        <v>225</v>
      </c>
      <c r="AH28" s="47"/>
      <c r="AI28" s="47" t="s">
        <v>226</v>
      </c>
      <c r="AJ28" s="47"/>
      <c r="AK28" s="47" t="s">
        <v>224</v>
      </c>
      <c r="AL28" s="47"/>
      <c r="AM28" s="47"/>
      <c r="AN28" s="47"/>
      <c r="AO28" s="47"/>
      <c r="AP28" s="47" t="s">
        <v>56</v>
      </c>
      <c r="AQ28" s="47"/>
      <c r="AR28" s="47" t="s">
        <v>57</v>
      </c>
      <c r="AS28" s="47"/>
      <c r="AT28" s="63" t="s">
        <v>85</v>
      </c>
      <c r="AU28" s="64"/>
      <c r="AV28" s="64"/>
      <c r="AW28" s="64"/>
      <c r="AX28" s="51"/>
      <c r="AY28" s="52"/>
      <c r="AZ28" s="185">
        <f>(Z14+AI14+AR14)/1000</f>
        <v>1161.615</v>
      </c>
      <c r="BA28" s="169">
        <v>16</v>
      </c>
      <c r="BB28" s="174">
        <f>AZ28*BA28</f>
        <v>18585.84</v>
      </c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1:113" ht="12.75">
      <c r="A29" s="48" t="s">
        <v>122</v>
      </c>
      <c r="B29" s="48" t="s">
        <v>133</v>
      </c>
      <c r="C29" s="90">
        <v>623125667</v>
      </c>
      <c r="D29" s="214">
        <v>11771.9337</v>
      </c>
      <c r="E29" s="214">
        <v>11935.0164</v>
      </c>
      <c r="F29" s="75">
        <v>1800</v>
      </c>
      <c r="G29" s="215">
        <f t="shared" si="1"/>
        <v>163.08270000000084</v>
      </c>
      <c r="H29" s="73"/>
      <c r="I29" s="75">
        <f>ROUND(G29*F29,0)</f>
        <v>293549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291</v>
      </c>
      <c r="AC29" s="47"/>
      <c r="AD29" s="47"/>
      <c r="AE29" s="47"/>
      <c r="AF29" s="47"/>
      <c r="AG29" s="47" t="s">
        <v>55</v>
      </c>
      <c r="AH29" s="47"/>
      <c r="AI29" s="47"/>
      <c r="AJ29" s="47"/>
      <c r="AK29" s="47" t="s">
        <v>291</v>
      </c>
      <c r="AL29" s="47"/>
      <c r="AM29" s="47"/>
      <c r="AN29" s="47"/>
      <c r="AO29" s="47"/>
      <c r="AP29" s="47" t="s">
        <v>55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1:113" ht="12.75">
      <c r="A30" s="49"/>
      <c r="B30" s="49" t="s">
        <v>119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1:113" ht="12.75">
      <c r="A31" s="48" t="s">
        <v>123</v>
      </c>
      <c r="B31" s="48" t="s">
        <v>134</v>
      </c>
      <c r="C31" s="90">
        <v>623126370</v>
      </c>
      <c r="D31" s="214">
        <v>3116.1875</v>
      </c>
      <c r="E31" s="214">
        <v>3168.513</v>
      </c>
      <c r="F31" s="75">
        <v>4800</v>
      </c>
      <c r="G31" s="215">
        <f t="shared" si="1"/>
        <v>52.32549999999992</v>
      </c>
      <c r="H31" s="73"/>
      <c r="I31" s="75">
        <f>ROUND(G31*F31,0)</f>
        <v>251162</v>
      </c>
      <c r="J31" s="64"/>
      <c r="K31" s="64"/>
      <c r="L31" s="154"/>
      <c r="M31" s="78"/>
      <c r="N31" s="155" t="s">
        <v>169</v>
      </c>
      <c r="O31" s="155"/>
      <c r="P31" s="83"/>
      <c r="Q31" s="64"/>
      <c r="R31" s="85"/>
      <c r="S31" s="47" t="s">
        <v>224</v>
      </c>
      <c r="T31" s="47"/>
      <c r="U31" s="47"/>
      <c r="V31" s="47"/>
      <c r="W31" s="47"/>
      <c r="X31" s="47" t="s">
        <v>225</v>
      </c>
      <c r="Y31" s="47"/>
      <c r="Z31" s="47" t="s">
        <v>226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1:113" ht="12.75">
      <c r="A32" s="49"/>
      <c r="B32" s="49" t="s">
        <v>119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266</v>
      </c>
      <c r="O32" s="155"/>
      <c r="P32" s="83"/>
      <c r="Q32" s="64"/>
      <c r="R32" s="85"/>
      <c r="S32" s="47" t="s">
        <v>291</v>
      </c>
      <c r="T32" s="47"/>
      <c r="U32" s="47"/>
      <c r="V32" s="47"/>
      <c r="W32" s="47"/>
      <c r="X32" s="47" t="s">
        <v>55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222</v>
      </c>
      <c r="AU32" s="51"/>
      <c r="AV32" s="51"/>
      <c r="AW32" s="51"/>
      <c r="AX32" s="51"/>
      <c r="AY32" s="52"/>
      <c r="AZ32" s="170"/>
      <c r="BA32" s="187"/>
      <c r="BB32" s="169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1:113" ht="12.75">
      <c r="A33" s="48" t="s">
        <v>124</v>
      </c>
      <c r="B33" s="48" t="s">
        <v>135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291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54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220</v>
      </c>
      <c r="AU33" s="51"/>
      <c r="AV33" s="51"/>
      <c r="AW33" s="51"/>
      <c r="AX33" s="51"/>
      <c r="AY33" s="52"/>
      <c r="AZ33" s="170"/>
      <c r="BA33" s="177"/>
      <c r="BB33" s="169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1:113" ht="12.75">
      <c r="A34" s="49"/>
      <c r="B34" s="49" t="s">
        <v>119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54</v>
      </c>
      <c r="AL34" s="47"/>
      <c r="AM34" s="47"/>
      <c r="AN34" s="47"/>
      <c r="AO34" s="47"/>
      <c r="AP34" s="47"/>
      <c r="AQ34" s="47"/>
      <c r="AR34" s="47"/>
      <c r="AS34" s="47"/>
      <c r="AT34" s="50" t="s">
        <v>223</v>
      </c>
      <c r="AU34" s="51"/>
      <c r="AV34" s="51"/>
      <c r="AW34" s="51"/>
      <c r="AX34" s="51"/>
      <c r="AY34" s="52"/>
      <c r="AZ34" s="170"/>
      <c r="BA34" s="182"/>
      <c r="BB34" s="169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1:113" ht="12.75">
      <c r="A35" s="48" t="s">
        <v>125</v>
      </c>
      <c r="B35" s="48" t="s">
        <v>136</v>
      </c>
      <c r="C35" s="90">
        <v>623125142</v>
      </c>
      <c r="D35" s="214">
        <v>15436.6586</v>
      </c>
      <c r="E35" s="214">
        <v>15718.5297</v>
      </c>
      <c r="F35" s="75">
        <v>2400</v>
      </c>
      <c r="G35" s="215">
        <f t="shared" si="1"/>
        <v>281.8710999999985</v>
      </c>
      <c r="H35" s="73"/>
      <c r="I35" s="75">
        <f>ROUND(G35*F35,0)</f>
        <v>676491</v>
      </c>
      <c r="J35" s="64"/>
      <c r="K35" s="64"/>
      <c r="L35" s="154"/>
      <c r="M35" s="78"/>
      <c r="N35" s="156" t="s">
        <v>171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71</v>
      </c>
      <c r="AC35" s="47"/>
      <c r="AD35" s="47"/>
      <c r="AE35" s="47"/>
      <c r="AF35" s="47"/>
      <c r="AG35" s="47" t="s">
        <v>41</v>
      </c>
      <c r="AH35" s="47"/>
      <c r="AI35" s="47" t="s">
        <v>40</v>
      </c>
      <c r="AJ35" s="47"/>
      <c r="AK35" s="47" t="s">
        <v>227</v>
      </c>
      <c r="AL35" s="47"/>
      <c r="AM35" s="47"/>
      <c r="AN35" s="47"/>
      <c r="AO35" s="47"/>
      <c r="AP35" s="47"/>
      <c r="AQ35" s="47" t="s">
        <v>228</v>
      </c>
      <c r="AR35" s="47"/>
      <c r="AS35" s="47"/>
      <c r="AT35" s="50" t="s">
        <v>220</v>
      </c>
      <c r="AU35" s="51"/>
      <c r="AV35" s="51"/>
      <c r="AW35" s="51"/>
      <c r="AX35" s="51"/>
      <c r="AY35" s="52"/>
      <c r="AZ35" s="170"/>
      <c r="BA35" s="182"/>
      <c r="BB35" s="169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1:113" ht="12.75">
      <c r="A36" s="49"/>
      <c r="B36" s="49" t="s">
        <v>119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170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86</v>
      </c>
      <c r="AC36" s="47"/>
      <c r="AD36" s="47"/>
      <c r="AE36" s="47"/>
      <c r="AF36" s="47"/>
      <c r="AG36" s="47" t="s">
        <v>55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55</v>
      </c>
      <c r="AR36" s="47"/>
      <c r="AS36" s="47"/>
      <c r="AT36" s="50" t="s">
        <v>220</v>
      </c>
      <c r="AU36" s="51"/>
      <c r="AV36" s="51"/>
      <c r="AW36" s="51"/>
      <c r="AX36" s="51"/>
      <c r="AY36" s="52"/>
      <c r="AZ36" s="170"/>
      <c r="BA36" s="182"/>
      <c r="BB36" s="169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1:113" ht="12.75">
      <c r="A37" s="48" t="s">
        <v>126</v>
      </c>
      <c r="B37" s="48" t="s">
        <v>137</v>
      </c>
      <c r="C37" s="90">
        <v>623125205</v>
      </c>
      <c r="D37" s="214">
        <v>5641.6621</v>
      </c>
      <c r="E37" s="214">
        <v>5751.9769</v>
      </c>
      <c r="F37" s="75">
        <v>1800</v>
      </c>
      <c r="G37" s="215">
        <f t="shared" si="1"/>
        <v>110.3148000000001</v>
      </c>
      <c r="H37" s="73"/>
      <c r="I37" s="75">
        <f>ROUND(G37*F37,0)</f>
        <v>198567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286</v>
      </c>
      <c r="T37" s="47"/>
      <c r="U37" s="47"/>
      <c r="V37" s="47"/>
      <c r="W37" s="47"/>
      <c r="X37" s="47" t="s">
        <v>225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185</v>
      </c>
      <c r="AU37" s="51"/>
      <c r="AV37" s="51"/>
      <c r="AW37" s="51"/>
      <c r="AX37" s="51"/>
      <c r="AY37" s="52"/>
      <c r="AZ37" s="170"/>
      <c r="BA37" s="177"/>
      <c r="BB37" s="169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1:113" ht="12.75">
      <c r="A38" s="49"/>
      <c r="B38" s="49" t="s">
        <v>119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55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220</v>
      </c>
      <c r="AU38" s="51"/>
      <c r="AV38" s="51" t="s">
        <v>25</v>
      </c>
      <c r="AW38" s="51"/>
      <c r="AX38" s="51"/>
      <c r="AY38" s="52"/>
      <c r="AZ38" s="170"/>
      <c r="BA38" s="182"/>
      <c r="BB38" s="169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1:113" ht="12.75">
      <c r="A39" s="48" t="s">
        <v>127</v>
      </c>
      <c r="B39" s="48" t="s">
        <v>138</v>
      </c>
      <c r="C39" s="90">
        <v>623123704</v>
      </c>
      <c r="D39" s="214">
        <v>9959.0758</v>
      </c>
      <c r="E39" s="214">
        <v>10323.2935</v>
      </c>
      <c r="F39" s="75">
        <v>1800</v>
      </c>
      <c r="G39" s="215">
        <f t="shared" si="1"/>
        <v>364.21769999999924</v>
      </c>
      <c r="H39" s="73"/>
      <c r="I39" s="75">
        <f>ROUND(G39*F39,0)</f>
        <v>655592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221</v>
      </c>
      <c r="AU39" s="51"/>
      <c r="AV39" s="51" t="s">
        <v>218</v>
      </c>
      <c r="AW39" s="51"/>
      <c r="AX39" s="51"/>
      <c r="AY39" s="52"/>
      <c r="AZ39" s="170"/>
      <c r="BA39" s="182"/>
      <c r="BB39" s="169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1:113" ht="12.75">
      <c r="A40" s="49"/>
      <c r="B40" s="49" t="s">
        <v>119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1:113" ht="12.75">
      <c r="A41" s="48" t="s">
        <v>128</v>
      </c>
      <c r="B41" s="48" t="s">
        <v>139</v>
      </c>
      <c r="C41" s="90">
        <v>623125794</v>
      </c>
      <c r="D41" s="214">
        <v>231.9842</v>
      </c>
      <c r="E41" s="214">
        <v>251.5401</v>
      </c>
      <c r="F41" s="75">
        <v>1800</v>
      </c>
      <c r="G41" s="215">
        <f t="shared" si="1"/>
        <v>19.55590000000001</v>
      </c>
      <c r="H41" s="73"/>
      <c r="I41" s="75">
        <f>ROUND(G41*F41,0)</f>
        <v>35201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13" ht="12.75">
      <c r="A42" s="49"/>
      <c r="B42" s="49" t="s">
        <v>119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1:113" ht="12.75">
      <c r="A43" s="48" t="s">
        <v>129</v>
      </c>
      <c r="B43" s="48" t="s">
        <v>140</v>
      </c>
      <c r="C43" s="90">
        <v>623125736</v>
      </c>
      <c r="D43" s="214">
        <v>5103.8156</v>
      </c>
      <c r="E43" s="214">
        <v>5259.6123</v>
      </c>
      <c r="F43" s="75">
        <v>1200</v>
      </c>
      <c r="G43" s="215">
        <f t="shared" si="1"/>
        <v>155.79669999999987</v>
      </c>
      <c r="H43" s="73"/>
      <c r="I43" s="75">
        <f>ROUND(G43*F43,0)</f>
        <v>186956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185</v>
      </c>
      <c r="AU43" s="51"/>
      <c r="AV43" s="51"/>
      <c r="AW43" s="51"/>
      <c r="AX43" s="51"/>
      <c r="AY43" s="52"/>
      <c r="AZ43" s="170"/>
      <c r="BA43" s="182"/>
      <c r="BB43" s="169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1:113" ht="12.75">
      <c r="A44" s="49"/>
      <c r="B44" s="49" t="s">
        <v>119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1:113" ht="12.75">
      <c r="A45" s="48" t="s">
        <v>130</v>
      </c>
      <c r="B45" s="50" t="s">
        <v>131</v>
      </c>
      <c r="C45" s="90">
        <v>1110171156</v>
      </c>
      <c r="D45" s="214">
        <v>16797.2544</v>
      </c>
      <c r="E45" s="214">
        <v>17637.3404</v>
      </c>
      <c r="F45" s="75">
        <v>40</v>
      </c>
      <c r="G45" s="215">
        <f>E45-D45</f>
        <v>840.0859999999993</v>
      </c>
      <c r="H45" s="73"/>
      <c r="I45" s="75">
        <f>ROUND(G45*F45,0)</f>
        <v>33603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1:113" ht="12.75">
      <c r="A46" s="49"/>
      <c r="B46" s="46" t="s">
        <v>119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189</v>
      </c>
      <c r="AW46" s="51"/>
      <c r="AX46" s="51"/>
      <c r="AY46" s="52"/>
      <c r="AZ46" s="170"/>
      <c r="BA46" s="187"/>
      <c r="BB46" s="169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1:113" ht="12.75">
      <c r="A47" s="94"/>
      <c r="B47" s="55"/>
      <c r="C47" s="86"/>
      <c r="D47" s="92"/>
      <c r="E47" s="93"/>
      <c r="F47" s="93"/>
      <c r="G47" s="108" t="s">
        <v>141</v>
      </c>
      <c r="H47" s="56"/>
      <c r="I47" s="125">
        <f>ROUND((SUM(I25:I46)+I20),0)</f>
        <v>7339606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1:113" ht="12.75">
      <c r="A48" s="48" t="s">
        <v>144</v>
      </c>
      <c r="B48" s="50" t="s">
        <v>142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1:113" ht="12.75">
      <c r="A49" s="74"/>
      <c r="B49" s="63" t="s">
        <v>143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189</v>
      </c>
      <c r="AW49" s="51"/>
      <c r="AX49" s="51"/>
      <c r="AY49" s="52"/>
      <c r="AZ49" s="170"/>
      <c r="BA49" s="182"/>
      <c r="BB49" s="169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1:113" ht="12.75">
      <c r="A50" s="50" t="s">
        <v>145</v>
      </c>
      <c r="B50" s="48" t="s">
        <v>235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271</v>
      </c>
      <c r="AW50" s="55"/>
      <c r="AX50" s="55"/>
      <c r="AY50" s="56"/>
      <c r="AZ50" s="170"/>
      <c r="BA50" s="182"/>
      <c r="BB50" s="169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1:113" ht="12.75">
      <c r="A51" s="63"/>
      <c r="B51" s="74"/>
      <c r="C51" s="194">
        <v>611127627</v>
      </c>
      <c r="D51" s="191">
        <v>6433.2412</v>
      </c>
      <c r="E51" s="191">
        <v>6490.4328</v>
      </c>
      <c r="F51" s="60">
        <v>40</v>
      </c>
      <c r="G51" s="142">
        <f>E51-D51</f>
        <v>57.1915999999992</v>
      </c>
      <c r="H51" s="60"/>
      <c r="I51" s="60">
        <f>ROUND(F51*G51+H51,0)</f>
        <v>2288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</row>
    <row r="52" spans="1:113" ht="12.75">
      <c r="A52" s="63"/>
      <c r="B52" s="49" t="s">
        <v>231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1:113" ht="12.75">
      <c r="A53" s="48" t="s">
        <v>148</v>
      </c>
      <c r="B53" s="65"/>
      <c r="C53" s="106">
        <v>810120245</v>
      </c>
      <c r="D53" s="191">
        <v>3796.3542</v>
      </c>
      <c r="E53" s="191">
        <v>3804.4647</v>
      </c>
      <c r="F53" s="60">
        <v>3600</v>
      </c>
      <c r="G53" s="142">
        <f>E53-D53</f>
        <v>8.110499999999774</v>
      </c>
      <c r="H53" s="60"/>
      <c r="I53" s="60">
        <f>ROUND(F53*G53+H53,0)</f>
        <v>29198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306</v>
      </c>
      <c r="AU53" s="47"/>
      <c r="AV53" s="47"/>
      <c r="AW53" s="47"/>
      <c r="AX53" s="47"/>
      <c r="AY53" s="47"/>
      <c r="AZ53" s="47"/>
      <c r="BA53" s="47"/>
      <c r="BB53" s="47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</row>
    <row r="54" spans="1:113" ht="12.75">
      <c r="A54" s="74"/>
      <c r="B54" s="65" t="s">
        <v>245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1:113" ht="12.75">
      <c r="A55" s="74"/>
      <c r="B55" s="65"/>
      <c r="C55" s="103">
        <v>4050284</v>
      </c>
      <c r="D55" s="121">
        <v>4519.9157</v>
      </c>
      <c r="E55" s="121">
        <v>4566.004</v>
      </c>
      <c r="F55" s="60">
        <v>3600</v>
      </c>
      <c r="G55" s="143">
        <f>E55-D55</f>
        <v>46.088300000000345</v>
      </c>
      <c r="H55" s="44"/>
      <c r="I55" s="60">
        <f>ROUND(F55*G55+H55,0)</f>
        <v>165918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</row>
    <row r="56" spans="1:113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1:113" ht="12.75">
      <c r="A57" s="74" t="s">
        <v>149</v>
      </c>
      <c r="B57" s="48" t="s">
        <v>115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1:113" ht="12.75">
      <c r="A58" s="196"/>
      <c r="B58" s="74" t="s">
        <v>114</v>
      </c>
      <c r="C58" s="194">
        <v>611127492</v>
      </c>
      <c r="D58" s="191">
        <v>22387.8612</v>
      </c>
      <c r="E58" s="191">
        <v>22739.5948</v>
      </c>
      <c r="F58" s="60">
        <v>20</v>
      </c>
      <c r="G58" s="142">
        <f>E58-D58</f>
        <v>351.73359999999957</v>
      </c>
      <c r="H58" s="60"/>
      <c r="I58" s="60">
        <f>ROUND(F58*G58+H58,0)</f>
        <v>7035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49</v>
      </c>
      <c r="AW58" s="47"/>
      <c r="AX58" s="47"/>
      <c r="AY58" s="47"/>
      <c r="AZ58" s="47"/>
      <c r="BA58" s="47"/>
      <c r="BB58" s="162">
        <f>BA9</f>
        <v>3.1835152017971526</v>
      </c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1:113" ht="12.75">
      <c r="A59" s="50" t="s">
        <v>150</v>
      </c>
      <c r="B59" s="48" t="s">
        <v>236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1:113" ht="12.75">
      <c r="A60" s="197"/>
      <c r="B60" s="70" t="s">
        <v>281</v>
      </c>
      <c r="C60" s="194">
        <v>611127702</v>
      </c>
      <c r="D60" s="191">
        <v>32973.3996</v>
      </c>
      <c r="E60" s="191">
        <v>33334.854</v>
      </c>
      <c r="F60" s="60">
        <v>60</v>
      </c>
      <c r="G60" s="142">
        <f>E60-D60</f>
        <v>361.45440000000235</v>
      </c>
      <c r="H60" s="44"/>
      <c r="I60" s="60">
        <f>ROUND(F60*G60+H60,0)</f>
        <v>21687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1:113" ht="13.5">
      <c r="A61" s="63"/>
      <c r="B61" s="70" t="s">
        <v>282</v>
      </c>
      <c r="C61" s="194">
        <v>611127555</v>
      </c>
      <c r="D61" s="191">
        <v>13652.6292</v>
      </c>
      <c r="E61" s="191">
        <v>14374.1276</v>
      </c>
      <c r="F61" s="60">
        <v>60</v>
      </c>
      <c r="G61" s="142">
        <f>E61-D61</f>
        <v>721.4984000000004</v>
      </c>
      <c r="H61" s="44"/>
      <c r="I61" s="60">
        <f>ROUND(F61*G61+H61,0)</f>
        <v>43290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1:113" ht="12.75">
      <c r="A62" s="50" t="s">
        <v>151</v>
      </c>
      <c r="B62" s="48" t="s">
        <v>237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1:113" ht="12.75">
      <c r="A63" s="197"/>
      <c r="B63" s="74"/>
      <c r="C63" s="194">
        <v>1110171163</v>
      </c>
      <c r="D63" s="191">
        <v>1348.5596</v>
      </c>
      <c r="E63" s="191">
        <v>1397.0568</v>
      </c>
      <c r="F63" s="60">
        <v>60</v>
      </c>
      <c r="G63" s="142">
        <f>E63-D63</f>
        <v>48.49720000000002</v>
      </c>
      <c r="H63" s="44"/>
      <c r="I63" s="60">
        <f>ROUND(F63*G63+H63,0)</f>
        <v>2910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1:113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1:113" ht="12.75">
      <c r="A65" s="50" t="s">
        <v>152</v>
      </c>
      <c r="B65" s="48" t="s">
        <v>238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</row>
    <row r="66" spans="1:113" ht="12.75">
      <c r="A66" s="63"/>
      <c r="B66" s="74"/>
      <c r="C66" s="194">
        <v>1110171170</v>
      </c>
      <c r="D66" s="191">
        <v>209.7008</v>
      </c>
      <c r="E66" s="191">
        <v>215.498</v>
      </c>
      <c r="F66" s="60">
        <v>40</v>
      </c>
      <c r="G66" s="142">
        <f>E66-D66</f>
        <v>5.797200000000004</v>
      </c>
      <c r="H66" s="60"/>
      <c r="I66" s="60">
        <f>ROUND(F66*G66+H66,0)</f>
        <v>232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1:113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1:113" ht="12.75">
      <c r="A68" s="50" t="s">
        <v>153</v>
      </c>
      <c r="B68" s="48" t="s">
        <v>283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1:113" ht="13.5">
      <c r="A69" s="63"/>
      <c r="B69" s="74" t="s">
        <v>284</v>
      </c>
      <c r="C69" s="194">
        <v>611126404</v>
      </c>
      <c r="D69" s="191">
        <v>622.6223</v>
      </c>
      <c r="E69" s="191">
        <v>631.5238</v>
      </c>
      <c r="F69" s="60">
        <v>1800</v>
      </c>
      <c r="G69" s="142">
        <f>E69-D69</f>
        <v>8.901500000000055</v>
      </c>
      <c r="H69" s="60"/>
      <c r="I69" s="60">
        <f>ROUND((F69*G69+H69),0)</f>
        <v>16023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1:113" ht="12.75">
      <c r="A70" s="46"/>
      <c r="B70" s="49" t="s">
        <v>247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1:113" ht="12.75">
      <c r="A71" s="63" t="s">
        <v>233</v>
      </c>
      <c r="B71" s="74" t="s">
        <v>239</v>
      </c>
      <c r="C71" s="194">
        <v>611127724</v>
      </c>
      <c r="D71" s="191">
        <v>2053.69</v>
      </c>
      <c r="E71" s="191">
        <v>2081.6136</v>
      </c>
      <c r="F71" s="60">
        <v>30</v>
      </c>
      <c r="G71" s="142">
        <f>E71-D71</f>
        <v>27.92360000000008</v>
      </c>
      <c r="H71" s="60"/>
      <c r="I71" s="60">
        <f>ROUND(F71*G71+H71,0)</f>
        <v>838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1:113" ht="12.75">
      <c r="A72" s="46"/>
      <c r="B72" s="74" t="s">
        <v>277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  <row r="73" spans="1:113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</row>
    <row r="74" spans="1:113" ht="12.75">
      <c r="A74" s="46"/>
      <c r="B74" s="53"/>
      <c r="C74" s="55"/>
      <c r="D74" s="55"/>
      <c r="E74" s="55"/>
      <c r="F74" s="55" t="s">
        <v>154</v>
      </c>
      <c r="G74" s="55"/>
      <c r="H74" s="56"/>
      <c r="I74" s="125">
        <f>ROUND((SUM(I50:I69)-I73),0)</f>
        <v>288581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</row>
    <row r="75" spans="1:113" ht="12.75">
      <c r="A75" s="45"/>
      <c r="B75" s="55"/>
      <c r="C75" s="55"/>
      <c r="D75" s="55"/>
      <c r="E75" s="55"/>
      <c r="F75" s="55"/>
      <c r="G75" s="55" t="s">
        <v>155</v>
      </c>
      <c r="H75" s="56"/>
      <c r="I75" s="125">
        <f>ROUND((I18+I20-I47-I74),0)</f>
        <v>6464795</v>
      </c>
      <c r="J75" s="64"/>
      <c r="K75" s="64">
        <f>I18+I20+I22-I47-I74</f>
        <v>6548864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</row>
    <row r="76" spans="1:113" ht="12.75">
      <c r="A76" s="44" t="s">
        <v>162</v>
      </c>
      <c r="B76" s="45" t="s">
        <v>156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</row>
    <row r="77" spans="1:113" ht="12.75">
      <c r="A77" s="48" t="s">
        <v>160</v>
      </c>
      <c r="B77" s="48" t="s">
        <v>157</v>
      </c>
      <c r="C77" s="73">
        <v>18705639</v>
      </c>
      <c r="D77" s="124">
        <v>19770</v>
      </c>
      <c r="E77" s="124">
        <v>19908</v>
      </c>
      <c r="F77" s="75">
        <v>30</v>
      </c>
      <c r="G77" s="211">
        <f>E77-D77</f>
        <v>138</v>
      </c>
      <c r="H77" s="48">
        <v>1300</v>
      </c>
      <c r="I77" s="75">
        <f>F77*G77+H77</f>
        <v>5440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</row>
    <row r="78" spans="1:54" ht="12.75">
      <c r="A78" s="49"/>
      <c r="B78" s="49" t="s">
        <v>158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113" ht="12.75">
      <c r="A79" s="48" t="s">
        <v>161</v>
      </c>
      <c r="B79" s="48" t="s">
        <v>159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</row>
    <row r="80" spans="1:113" ht="12.75">
      <c r="A80" s="49"/>
      <c r="B80" s="49" t="s">
        <v>158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</row>
    <row r="81" spans="1:113" ht="12.75">
      <c r="A81" s="45"/>
      <c r="B81" s="55"/>
      <c r="C81" s="109"/>
      <c r="D81" s="92"/>
      <c r="E81" s="110"/>
      <c r="F81" s="110" t="s">
        <v>163</v>
      </c>
      <c r="G81" s="111"/>
      <c r="H81" s="56"/>
      <c r="I81" s="60">
        <f>I77+I79</f>
        <v>5440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</row>
    <row r="82" spans="1:113" ht="12.75">
      <c r="A82" s="45"/>
      <c r="B82" s="55"/>
      <c r="C82" s="109"/>
      <c r="D82" s="92"/>
      <c r="E82" s="110"/>
      <c r="F82" s="110"/>
      <c r="G82" s="111" t="s">
        <v>164</v>
      </c>
      <c r="H82" s="56"/>
      <c r="I82" s="125">
        <f>I75+I81</f>
        <v>6470235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</row>
    <row r="83" spans="1:113" ht="12.75">
      <c r="A83" s="50" t="s">
        <v>165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</row>
    <row r="84" spans="1:113" ht="12.75">
      <c r="A84" s="114" t="s">
        <v>290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</row>
    <row r="85" spans="1:113" ht="12.75">
      <c r="A85" s="64" t="s">
        <v>168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</row>
    <row r="86" spans="1:113" ht="12.75">
      <c r="A86" s="64"/>
      <c r="B86" s="64"/>
      <c r="C86" s="78"/>
      <c r="D86" s="202" t="s">
        <v>169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</row>
    <row r="87" spans="1:113" ht="12.75">
      <c r="A87" s="64"/>
      <c r="B87" s="64"/>
      <c r="C87" s="78"/>
      <c r="D87" s="202" t="s">
        <v>268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</row>
    <row r="88" spans="1:113" ht="12.75">
      <c r="A88" s="64"/>
      <c r="B88" s="64"/>
      <c r="C88" s="154"/>
      <c r="D88" s="202" t="s">
        <v>291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</row>
    <row r="89" spans="1:113" ht="12.75">
      <c r="A89" s="47"/>
      <c r="B89" s="47"/>
      <c r="C89" s="47"/>
      <c r="D89" s="47" t="s">
        <v>90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267</v>
      </c>
      <c r="AU89" s="47"/>
      <c r="AV89" s="47"/>
      <c r="AW89" s="47"/>
      <c r="AX89" s="47"/>
      <c r="AY89" s="47"/>
      <c r="AZ89" s="47"/>
      <c r="BA89" s="47"/>
      <c r="BB89" s="47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</row>
    <row r="90" spans="1:113" ht="12.75">
      <c r="A90" s="47"/>
      <c r="B90" s="47"/>
      <c r="C90" s="47"/>
      <c r="D90" s="47" t="s">
        <v>91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272</v>
      </c>
      <c r="AU90" s="47"/>
      <c r="AV90" s="47"/>
      <c r="AW90" s="47"/>
      <c r="AX90" s="47"/>
      <c r="AY90" s="47"/>
      <c r="AZ90" s="47"/>
      <c r="BA90" s="47"/>
      <c r="BB90" s="47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1:113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11</v>
      </c>
      <c r="AZ91" s="89" t="s">
        <v>295</v>
      </c>
      <c r="BA91" s="47"/>
      <c r="BB91" s="47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</row>
    <row r="92" spans="1:113" ht="12.75">
      <c r="A92" s="47"/>
      <c r="B92" s="47"/>
      <c r="C92" s="47" t="s">
        <v>92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26</v>
      </c>
      <c r="AU92" s="55"/>
      <c r="AV92" s="55"/>
      <c r="AW92" s="55"/>
      <c r="AX92" s="55"/>
      <c r="AY92" s="56"/>
      <c r="AZ92" s="44" t="s">
        <v>75</v>
      </c>
      <c r="BA92" s="44"/>
      <c r="BB92" s="44" t="s">
        <v>27</v>
      </c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</row>
    <row r="93" spans="1:113" ht="12.75">
      <c r="A93" s="47"/>
      <c r="B93" s="47"/>
      <c r="C93" s="47"/>
      <c r="D93" s="167" t="s">
        <v>303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182</v>
      </c>
      <c r="AU93" s="55"/>
      <c r="AV93" s="55"/>
      <c r="AW93" s="55"/>
      <c r="AX93" s="55"/>
      <c r="AY93" s="56"/>
      <c r="AZ93" s="125">
        <v>94041</v>
      </c>
      <c r="BA93" s="92"/>
      <c r="BB93" s="188">
        <f>AZ93*BB58</f>
        <v>299380.95309220604</v>
      </c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</row>
    <row r="94" spans="1:113" ht="12.75">
      <c r="A94" s="47" t="s">
        <v>265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181</v>
      </c>
      <c r="AU94" s="55"/>
      <c r="AV94" s="55"/>
      <c r="AW94" s="55"/>
      <c r="AX94" s="55"/>
      <c r="AY94" s="56"/>
      <c r="AZ94" s="125">
        <f>AZ131-SUM(AZ112:AZ120)-AZ109-AZ103-AZ96-AZ95-AZ93</f>
        <v>4855268</v>
      </c>
      <c r="BA94" s="92"/>
      <c r="BB94" s="188">
        <f>AZ94*BB58</f>
        <v>15456819.486799257</v>
      </c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</row>
    <row r="95" spans="1:113" ht="12.75">
      <c r="A95" s="47" t="s">
        <v>93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274</v>
      </c>
      <c r="AU95" s="55"/>
      <c r="AV95" s="55"/>
      <c r="AW95" s="55"/>
      <c r="AX95" s="55"/>
      <c r="AY95" s="56"/>
      <c r="AZ95" s="125">
        <v>89388</v>
      </c>
      <c r="BA95" s="92"/>
      <c r="BB95" s="188">
        <f>AZ95*BB58</f>
        <v>284568.0568582439</v>
      </c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1:113" ht="12.75">
      <c r="A96" s="47" t="s">
        <v>95</v>
      </c>
      <c r="B96" s="47"/>
      <c r="C96" s="47"/>
      <c r="D96" s="47"/>
      <c r="E96" s="47"/>
      <c r="F96" s="47" t="s">
        <v>94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17</v>
      </c>
      <c r="AU96" s="51"/>
      <c r="AV96" s="51"/>
      <c r="AW96" s="51"/>
      <c r="AX96" s="51"/>
      <c r="AY96" s="52"/>
      <c r="AZ96" s="189">
        <f>SUM(AZ97:AZ102)</f>
        <v>1096385</v>
      </c>
      <c r="BA96" s="95"/>
      <c r="BB96" s="188">
        <f>AZ96*BB58</f>
        <v>3490358.314522371</v>
      </c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</row>
    <row r="97" spans="1:113" ht="12.75">
      <c r="A97" s="48" t="s">
        <v>190</v>
      </c>
      <c r="B97" s="73" t="s">
        <v>96</v>
      </c>
      <c r="C97" s="48" t="s">
        <v>97</v>
      </c>
      <c r="D97" s="116" t="s">
        <v>172</v>
      </c>
      <c r="E97" s="117"/>
      <c r="F97" s="48" t="s">
        <v>98</v>
      </c>
      <c r="G97" s="48" t="s">
        <v>213</v>
      </c>
      <c r="H97" s="48" t="s">
        <v>99</v>
      </c>
      <c r="I97" s="48" t="s">
        <v>89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18</v>
      </c>
      <c r="AU97" s="64"/>
      <c r="AV97" s="64"/>
      <c r="AW97" s="64"/>
      <c r="AX97" s="64"/>
      <c r="AY97" s="65"/>
      <c r="AZ97" s="67">
        <v>355673</v>
      </c>
      <c r="BA97" s="78"/>
      <c r="BB97" s="188">
        <f>AZ97*BB58</f>
        <v>1132290.4023687986</v>
      </c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1:113" ht="12.75">
      <c r="A98" s="74"/>
      <c r="B98" s="74"/>
      <c r="C98" s="74"/>
      <c r="D98" s="48" t="s">
        <v>100</v>
      </c>
      <c r="E98" s="50" t="s">
        <v>101</v>
      </c>
      <c r="F98" s="74" t="s">
        <v>102</v>
      </c>
      <c r="G98" s="74" t="s">
        <v>88</v>
      </c>
      <c r="H98" s="74"/>
      <c r="I98" s="74" t="s">
        <v>103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19</v>
      </c>
      <c r="AU98" s="64"/>
      <c r="AV98" s="64"/>
      <c r="AW98" s="64"/>
      <c r="AX98" s="64"/>
      <c r="AY98" s="65"/>
      <c r="AZ98" s="67">
        <v>615079</v>
      </c>
      <c r="BA98" s="78"/>
      <c r="BB98" s="188">
        <f>AZ98*BB58</f>
        <v>1958113.346806191</v>
      </c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1:113" ht="12.75">
      <c r="A99" s="49"/>
      <c r="B99" s="49"/>
      <c r="C99" s="49"/>
      <c r="D99" s="49" t="s">
        <v>104</v>
      </c>
      <c r="E99" s="46" t="s">
        <v>104</v>
      </c>
      <c r="F99" s="49" t="s">
        <v>105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20</v>
      </c>
      <c r="AU99" s="64"/>
      <c r="AV99" s="64"/>
      <c r="AW99" s="64"/>
      <c r="AX99" s="64"/>
      <c r="AY99" s="65"/>
      <c r="AZ99" s="67">
        <v>121833</v>
      </c>
      <c r="BA99" s="78"/>
      <c r="BB99" s="188">
        <f>AZ99*BB58</f>
        <v>387857.2075805525</v>
      </c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1:113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21</v>
      </c>
      <c r="AU100" s="64"/>
      <c r="AV100" s="64"/>
      <c r="AW100" s="64"/>
      <c r="AX100" s="64"/>
      <c r="AY100" s="65"/>
      <c r="AZ100" s="67">
        <v>300</v>
      </c>
      <c r="BA100" s="78"/>
      <c r="BB100" s="188">
        <f>AZ100*BB58</f>
        <v>955.0545605391458</v>
      </c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1:113" ht="12.75">
      <c r="A101" s="46"/>
      <c r="B101" s="53"/>
      <c r="C101" s="209" t="s">
        <v>173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22</v>
      </c>
      <c r="AU101" s="64"/>
      <c r="AV101" s="64"/>
      <c r="AW101" s="64"/>
      <c r="AX101" s="64"/>
      <c r="AY101" s="65"/>
      <c r="AZ101" s="67">
        <v>2500</v>
      </c>
      <c r="BA101" s="78"/>
      <c r="BB101" s="188">
        <f>AZ101*BB58</f>
        <v>7958.788004492882</v>
      </c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1:113" ht="12.75">
      <c r="A102" s="44"/>
      <c r="B102" s="45" t="s">
        <v>264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3183.5152017971527</v>
      </c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1:113" ht="12.75">
      <c r="A103" s="73">
        <v>1</v>
      </c>
      <c r="B103" s="48" t="s">
        <v>146</v>
      </c>
      <c r="C103" s="90">
        <v>804152757</v>
      </c>
      <c r="D103" s="121">
        <v>2611.0181</v>
      </c>
      <c r="E103" s="121">
        <v>2662.6277</v>
      </c>
      <c r="F103" s="60">
        <v>36000</v>
      </c>
      <c r="G103" s="142">
        <f>E103-D103</f>
        <v>51.60960000000023</v>
      </c>
      <c r="H103" s="44"/>
      <c r="I103" s="60">
        <f>F103*G103+H103</f>
        <v>1857945.6000000082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183</v>
      </c>
      <c r="AU103" s="51"/>
      <c r="AV103" s="51"/>
      <c r="AW103" s="51"/>
      <c r="AX103" s="51"/>
      <c r="AY103" s="52"/>
      <c r="AZ103" s="189">
        <f>SUM(AZ104:AZ108)</f>
        <v>12920</v>
      </c>
      <c r="BA103" s="95"/>
      <c r="BB103" s="188">
        <f>AZ103*BB58</f>
        <v>41131.01640721921</v>
      </c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1:113" ht="12.75">
      <c r="A104" s="49"/>
      <c r="B104" s="46" t="s">
        <v>147</v>
      </c>
      <c r="C104" s="106">
        <v>109054169</v>
      </c>
      <c r="D104" s="121">
        <v>3194.7625</v>
      </c>
      <c r="E104" s="121">
        <v>3255.0743</v>
      </c>
      <c r="F104" s="60">
        <v>36000</v>
      </c>
      <c r="G104" s="142">
        <f>E104-D104</f>
        <v>60.3118000000004</v>
      </c>
      <c r="H104" s="44"/>
      <c r="I104" s="60">
        <f>F104*G104+H104</f>
        <v>2171224.8000000147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208</v>
      </c>
      <c r="AV104" s="64"/>
      <c r="AW104" s="64"/>
      <c r="AX104" s="64"/>
      <c r="AY104" s="65"/>
      <c r="AZ104" s="67">
        <v>1680</v>
      </c>
      <c r="BA104" s="78"/>
      <c r="BB104" s="188">
        <f>AZ104*BB58</f>
        <v>5348.305539019217</v>
      </c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1:113" ht="12.75">
      <c r="A105" s="45"/>
      <c r="B105" s="55"/>
      <c r="C105" s="53"/>
      <c r="D105" s="55"/>
      <c r="E105" s="55"/>
      <c r="F105" s="107" t="s">
        <v>109</v>
      </c>
      <c r="G105" s="55"/>
      <c r="H105" s="56"/>
      <c r="I105" s="60">
        <f>I103+I104</f>
        <v>4029170.4000000227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204</v>
      </c>
      <c r="AU105" s="64"/>
      <c r="AV105" s="64" t="s">
        <v>184</v>
      </c>
      <c r="AW105" s="64"/>
      <c r="AX105" s="64"/>
      <c r="AY105" s="65"/>
      <c r="AZ105" s="67">
        <v>4160</v>
      </c>
      <c r="BA105" s="78"/>
      <c r="BB105" s="188">
        <f>AZ105*BB58</f>
        <v>13243.423239476155</v>
      </c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1:113" ht="12.75">
      <c r="A106" s="44" t="s">
        <v>110</v>
      </c>
      <c r="B106" s="45" t="s">
        <v>111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204</v>
      </c>
      <c r="AU106" s="64"/>
      <c r="AV106" s="64" t="s">
        <v>209</v>
      </c>
      <c r="AW106" s="64"/>
      <c r="AX106" s="64"/>
      <c r="AY106" s="65"/>
      <c r="AZ106" s="67">
        <v>0</v>
      </c>
      <c r="BA106" s="78"/>
      <c r="BB106" s="188">
        <f>AZ106*BB58</f>
        <v>0</v>
      </c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</row>
    <row r="107" spans="1:113" ht="12.75">
      <c r="A107" s="44" t="s">
        <v>112</v>
      </c>
      <c r="B107" s="44" t="s">
        <v>113</v>
      </c>
      <c r="C107" s="106">
        <v>109053225</v>
      </c>
      <c r="D107" s="121">
        <v>7870.4654</v>
      </c>
      <c r="E107" s="121">
        <v>7937.8459</v>
      </c>
      <c r="F107" s="60">
        <v>21000</v>
      </c>
      <c r="G107" s="142">
        <f>E107-D107</f>
        <v>67.38050000000021</v>
      </c>
      <c r="H107" s="44"/>
      <c r="I107" s="60">
        <f>F107*G107+H107</f>
        <v>1414990.5000000044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210</v>
      </c>
      <c r="AW107" s="64"/>
      <c r="AX107" s="64"/>
      <c r="AY107" s="64"/>
      <c r="AZ107" s="67">
        <v>420</v>
      </c>
      <c r="BA107" s="70"/>
      <c r="BB107" s="188">
        <f>AZ107*BB58</f>
        <v>1337.0763847548042</v>
      </c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</row>
    <row r="108" spans="1:113" ht="12.75">
      <c r="A108" s="44" t="s">
        <v>259</v>
      </c>
      <c r="B108" s="55" t="s">
        <v>262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60</v>
      </c>
      <c r="AU108" s="53"/>
      <c r="AV108" s="101"/>
      <c r="AW108" s="101"/>
      <c r="AX108" s="53"/>
      <c r="AY108" s="54"/>
      <c r="AZ108" s="68">
        <v>6660</v>
      </c>
      <c r="BA108" s="86"/>
      <c r="BB108" s="188">
        <f>AZ108*BB58</f>
        <v>21202.211243969035</v>
      </c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1:113" ht="12.75">
      <c r="A109" s="44" t="s">
        <v>260</v>
      </c>
      <c r="B109" s="45" t="s">
        <v>263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273</v>
      </c>
      <c r="AU109" s="51"/>
      <c r="AV109" s="51"/>
      <c r="AW109" s="51"/>
      <c r="AX109" s="51"/>
      <c r="AY109" s="52"/>
      <c r="AZ109" s="189">
        <f>AZ110+AZ111</f>
        <v>140667</v>
      </c>
      <c r="BA109" s="95"/>
      <c r="BB109" s="188">
        <f>AZ109*BB58</f>
        <v>447815.5328912001</v>
      </c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1:113" ht="12.75">
      <c r="A110" s="45" t="s">
        <v>261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23</v>
      </c>
      <c r="AU110" s="64"/>
      <c r="AV110" s="64"/>
      <c r="AW110" s="64"/>
      <c r="AX110" s="64"/>
      <c r="AY110" s="65"/>
      <c r="AZ110" s="67">
        <v>15332</v>
      </c>
      <c r="BA110" s="78"/>
      <c r="BB110" s="188">
        <f>AZ110*BB58</f>
        <v>48809.655073953945</v>
      </c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</row>
    <row r="111" spans="1:113" ht="12.75">
      <c r="A111" s="44" t="s">
        <v>116</v>
      </c>
      <c r="B111" s="45" t="s">
        <v>117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24</v>
      </c>
      <c r="AU111" s="53"/>
      <c r="AV111" s="53"/>
      <c r="AW111" s="53"/>
      <c r="AX111" s="53"/>
      <c r="AY111" s="54"/>
      <c r="AZ111" s="68">
        <v>125335</v>
      </c>
      <c r="BA111" s="86"/>
      <c r="BB111" s="188">
        <f>AZ111*BB58</f>
        <v>399005.87781724613</v>
      </c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2" spans="1:113" ht="12.75">
      <c r="A112" s="48" t="s">
        <v>118</v>
      </c>
      <c r="B112" s="48" t="s">
        <v>121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211</v>
      </c>
      <c r="AU112" s="55"/>
      <c r="AV112" s="55"/>
      <c r="AW112" s="55"/>
      <c r="AX112" s="55"/>
      <c r="AY112" s="56"/>
      <c r="AZ112" s="125">
        <v>20213</v>
      </c>
      <c r="BA112" s="92"/>
      <c r="BB112" s="188">
        <f>AZ112*BB58</f>
        <v>64348.39277392584</v>
      </c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</row>
    <row r="113" spans="1:113" ht="12.75">
      <c r="A113" s="49"/>
      <c r="B113" s="49" t="s">
        <v>119</v>
      </c>
      <c r="C113" s="91">
        <v>109056121</v>
      </c>
      <c r="D113" s="212">
        <v>6677.3173</v>
      </c>
      <c r="E113" s="212">
        <v>6706.5241</v>
      </c>
      <c r="F113" s="68">
        <v>4800</v>
      </c>
      <c r="G113" s="213">
        <f aca="true" t="shared" si="2" ref="G113:G132">E113-D113</f>
        <v>29.20679999999993</v>
      </c>
      <c r="H113" s="68"/>
      <c r="I113" s="68">
        <f>F113*G113+H113</f>
        <v>140192.63999999966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59</v>
      </c>
      <c r="AU113" s="55"/>
      <c r="AV113" s="55"/>
      <c r="AW113" s="55"/>
      <c r="AX113" s="55"/>
      <c r="AY113" s="56"/>
      <c r="AZ113" s="125">
        <v>24000</v>
      </c>
      <c r="BA113" s="92"/>
      <c r="BB113" s="188">
        <f>AZ113*BB58</f>
        <v>76404.36484313167</v>
      </c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  <row r="114" spans="1:113" ht="12.75">
      <c r="A114" s="48" t="s">
        <v>120</v>
      </c>
      <c r="B114" s="48" t="s">
        <v>132</v>
      </c>
      <c r="C114" s="90">
        <v>623125232</v>
      </c>
      <c r="D114" s="214">
        <v>3029.0723</v>
      </c>
      <c r="E114" s="214">
        <v>3063.1104</v>
      </c>
      <c r="F114" s="75">
        <v>1800</v>
      </c>
      <c r="G114" s="215">
        <f t="shared" si="2"/>
        <v>34.03810000000021</v>
      </c>
      <c r="H114" s="73"/>
      <c r="I114" s="75">
        <f>G114*F114</f>
        <v>61268.58000000038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200</v>
      </c>
      <c r="AU114" s="55"/>
      <c r="AV114" s="55"/>
      <c r="AW114" s="55"/>
      <c r="AX114" s="55"/>
      <c r="AY114" s="56"/>
      <c r="AZ114" s="125">
        <v>13783</v>
      </c>
      <c r="BA114" s="92"/>
      <c r="BB114" s="188">
        <f>AZ114*BB58</f>
        <v>43878.39002637016</v>
      </c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</row>
    <row r="115" spans="1:113" ht="12.75">
      <c r="A115" s="49"/>
      <c r="B115" s="49" t="s">
        <v>119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180</v>
      </c>
      <c r="AU115" s="55"/>
      <c r="AV115" s="55"/>
      <c r="AW115" s="55"/>
      <c r="AX115" s="55"/>
      <c r="AY115" s="56"/>
      <c r="AZ115" s="125">
        <v>3040</v>
      </c>
      <c r="BA115" s="92"/>
      <c r="BB115" s="188">
        <f>AZ115*BB58</f>
        <v>9677.886213463344</v>
      </c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</row>
    <row r="116" spans="1:113" ht="12.75">
      <c r="A116" s="48" t="s">
        <v>122</v>
      </c>
      <c r="B116" s="48" t="s">
        <v>133</v>
      </c>
      <c r="C116" s="90">
        <v>623125667</v>
      </c>
      <c r="D116" s="214">
        <v>4076.3291</v>
      </c>
      <c r="E116" s="214">
        <v>4123.4626</v>
      </c>
      <c r="F116" s="75">
        <v>1800</v>
      </c>
      <c r="G116" s="215">
        <f t="shared" si="2"/>
        <v>47.13349999999991</v>
      </c>
      <c r="H116" s="73"/>
      <c r="I116" s="75">
        <f>G116*F116</f>
        <v>84840.29999999984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40000</v>
      </c>
      <c r="BA116" s="92"/>
      <c r="BB116" s="188">
        <f>AZ116*BB58</f>
        <v>127340.6080718861</v>
      </c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</row>
    <row r="117" spans="1:113" ht="12.75">
      <c r="A117" s="49"/>
      <c r="B117" s="49" t="s">
        <v>119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10000</v>
      </c>
      <c r="BA117" s="92"/>
      <c r="BB117" s="188">
        <f>AZ117*BB58</f>
        <v>31835.152017971526</v>
      </c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</row>
    <row r="118" spans="1:113" ht="12.75">
      <c r="A118" s="48" t="s">
        <v>123</v>
      </c>
      <c r="B118" s="48" t="s">
        <v>134</v>
      </c>
      <c r="C118" s="90">
        <v>623126370</v>
      </c>
      <c r="D118" s="214">
        <v>811.0353</v>
      </c>
      <c r="E118" s="214">
        <v>827.3908</v>
      </c>
      <c r="F118" s="75">
        <v>4800</v>
      </c>
      <c r="G118" s="215">
        <f t="shared" si="2"/>
        <v>16.355500000000006</v>
      </c>
      <c r="H118" s="73"/>
      <c r="I118" s="75">
        <f>G118*F118</f>
        <v>78506.40000000002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207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159.17576008985762</v>
      </c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</row>
    <row r="119" spans="1:113" ht="12.75">
      <c r="A119" s="49"/>
      <c r="B119" s="49" t="s">
        <v>119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202</v>
      </c>
      <c r="AU119" s="107"/>
      <c r="AV119" s="55"/>
      <c r="AW119" s="55"/>
      <c r="AX119" s="55"/>
      <c r="AY119" s="56"/>
      <c r="AZ119" s="125">
        <v>70480</v>
      </c>
      <c r="BA119" s="92"/>
      <c r="BB119" s="188">
        <f>AZ119*BB58</f>
        <v>224374.15142266333</v>
      </c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</row>
    <row r="120" spans="1:113" ht="12.75">
      <c r="A120" s="48" t="s">
        <v>124</v>
      </c>
      <c r="B120" s="48" t="s">
        <v>135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</row>
    <row r="121" spans="1:113" ht="12.75">
      <c r="A121" s="49"/>
      <c r="B121" s="49" t="s">
        <v>119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</row>
    <row r="122" spans="1:113" ht="12.75">
      <c r="A122" s="48" t="s">
        <v>125</v>
      </c>
      <c r="B122" s="48" t="s">
        <v>136</v>
      </c>
      <c r="C122" s="90">
        <v>623125142</v>
      </c>
      <c r="D122" s="214">
        <v>2692.7084</v>
      </c>
      <c r="E122" s="214">
        <v>2729.165</v>
      </c>
      <c r="F122" s="75">
        <v>2400</v>
      </c>
      <c r="G122" s="215">
        <f t="shared" si="2"/>
        <v>36.45659999999998</v>
      </c>
      <c r="H122" s="73"/>
      <c r="I122" s="75">
        <f>G122*F122</f>
        <v>87495.83999999995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</row>
    <row r="123" spans="1:113" ht="12.75">
      <c r="A123" s="49"/>
      <c r="B123" s="49" t="s">
        <v>119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</row>
    <row r="124" spans="1:113" ht="12.75">
      <c r="A124" s="48" t="s">
        <v>126</v>
      </c>
      <c r="B124" s="48" t="s">
        <v>137</v>
      </c>
      <c r="C124" s="90">
        <v>623125205</v>
      </c>
      <c r="D124" s="214">
        <v>2196.2547</v>
      </c>
      <c r="E124" s="214">
        <v>2239.8423</v>
      </c>
      <c r="F124" s="75">
        <v>1800</v>
      </c>
      <c r="G124" s="215">
        <f t="shared" si="2"/>
        <v>43.58759999999984</v>
      </c>
      <c r="H124" s="73"/>
      <c r="I124" s="75">
        <f>G124*F124</f>
        <v>78457.6799999997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</row>
    <row r="125" spans="1:113" ht="12.75">
      <c r="A125" s="49"/>
      <c r="B125" s="49" t="s">
        <v>119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</row>
    <row r="126" spans="1:113" ht="12.75">
      <c r="A126" s="48" t="s">
        <v>127</v>
      </c>
      <c r="B126" s="48" t="s">
        <v>138</v>
      </c>
      <c r="C126" s="90">
        <v>623123704</v>
      </c>
      <c r="D126" s="214">
        <v>2694.6294</v>
      </c>
      <c r="E126" s="214">
        <v>2745.5653</v>
      </c>
      <c r="F126" s="75">
        <v>1800</v>
      </c>
      <c r="G126" s="215">
        <f t="shared" si="2"/>
        <v>50.9359000000004</v>
      </c>
      <c r="H126" s="73"/>
      <c r="I126" s="75">
        <f>G126*F126</f>
        <v>91684.62000000072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</row>
    <row r="127" spans="1:113" ht="13.5" customHeight="1">
      <c r="A127" s="49"/>
      <c r="B127" s="49" t="s">
        <v>119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</row>
    <row r="128" spans="1:113" ht="13.5" customHeight="1">
      <c r="A128" s="48" t="s">
        <v>128</v>
      </c>
      <c r="B128" s="48" t="s">
        <v>139</v>
      </c>
      <c r="C128" s="90">
        <v>623125794</v>
      </c>
      <c r="D128" s="214">
        <v>172.1663</v>
      </c>
      <c r="E128" s="214">
        <v>185.1487</v>
      </c>
      <c r="F128" s="75">
        <v>1800</v>
      </c>
      <c r="G128" s="215">
        <f>E128-D128</f>
        <v>12.982399999999984</v>
      </c>
      <c r="H128" s="73"/>
      <c r="I128" s="75">
        <f>G128*F128</f>
        <v>23368.31999999997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</row>
    <row r="129" spans="1:113" ht="12.75">
      <c r="A129" s="49"/>
      <c r="B129" s="49" t="s">
        <v>119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</row>
    <row r="130" spans="1:113" ht="12.75">
      <c r="A130" s="48" t="s">
        <v>129</v>
      </c>
      <c r="B130" s="48" t="s">
        <v>140</v>
      </c>
      <c r="C130" s="90">
        <v>623125736</v>
      </c>
      <c r="D130" s="214">
        <v>3191.0803</v>
      </c>
      <c r="E130" s="214">
        <v>3235.0599</v>
      </c>
      <c r="F130" s="75">
        <v>1200</v>
      </c>
      <c r="G130" s="215">
        <f t="shared" si="2"/>
        <v>43.97960000000012</v>
      </c>
      <c r="H130" s="73"/>
      <c r="I130" s="75">
        <f>G130*F130</f>
        <v>52775.52000000014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</row>
    <row r="131" spans="1:113" ht="12.75">
      <c r="A131" s="49"/>
      <c r="B131" s="49" t="s">
        <v>119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6470235</v>
      </c>
      <c r="BA131" s="47"/>
      <c r="BB131" s="165">
        <f>SUM(BB93:BB96)+BB103+BB109+SUM(BB112:BB126)</f>
        <v>20598091.481699996</v>
      </c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</row>
    <row r="132" spans="1:113" ht="12.75">
      <c r="A132" s="48" t="s">
        <v>130</v>
      </c>
      <c r="B132" s="50" t="s">
        <v>131</v>
      </c>
      <c r="C132" s="90">
        <v>1110171156</v>
      </c>
      <c r="D132" s="214">
        <v>1732.632</v>
      </c>
      <c r="E132" s="214">
        <v>1792.3772</v>
      </c>
      <c r="F132" s="75">
        <v>40</v>
      </c>
      <c r="G132" s="215">
        <f t="shared" si="2"/>
        <v>59.74519999999984</v>
      </c>
      <c r="H132" s="73"/>
      <c r="I132" s="75">
        <f>G132*F132</f>
        <v>2389.8079999999936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</row>
    <row r="133" spans="1:113" ht="12.75">
      <c r="A133" s="49"/>
      <c r="B133" s="46" t="s">
        <v>119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</row>
    <row r="134" spans="1:113" ht="12.75">
      <c r="A134" s="94"/>
      <c r="B134" s="55"/>
      <c r="C134" s="86"/>
      <c r="D134" s="92"/>
      <c r="E134" s="93"/>
      <c r="F134" s="93"/>
      <c r="G134" s="108" t="s">
        <v>141</v>
      </c>
      <c r="H134" s="56"/>
      <c r="I134" s="125">
        <f>SUM(I112:I133)+I107</f>
        <v>2115970.2080000048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307</v>
      </c>
      <c r="AU134" s="47"/>
      <c r="AV134" s="47"/>
      <c r="AW134" s="47"/>
      <c r="AX134" s="47"/>
      <c r="AY134" s="47"/>
      <c r="AZ134" s="47"/>
      <c r="BA134" s="47"/>
      <c r="BB134" s="47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</row>
    <row r="135" spans="1:113" ht="12.75">
      <c r="A135" s="48" t="s">
        <v>144</v>
      </c>
      <c r="B135" s="50" t="s">
        <v>142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</row>
    <row r="136" spans="1:113" ht="12.75">
      <c r="A136" s="74"/>
      <c r="B136" s="63" t="s">
        <v>143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48</v>
      </c>
      <c r="AU136" s="47"/>
      <c r="AV136" s="47"/>
      <c r="AW136" s="47"/>
      <c r="AX136" s="47"/>
      <c r="AY136" s="47"/>
      <c r="AZ136" s="47"/>
      <c r="BA136" s="47"/>
      <c r="BB136" s="47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</row>
    <row r="137" spans="1:113" ht="12.75">
      <c r="A137" s="50" t="s">
        <v>145</v>
      </c>
      <c r="B137" s="48" t="s">
        <v>240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</row>
    <row r="138" spans="1:113" ht="12.75">
      <c r="A138" s="63"/>
      <c r="B138" s="74"/>
      <c r="C138" s="194">
        <v>611127627</v>
      </c>
      <c r="D138" s="191">
        <v>2565.7252</v>
      </c>
      <c r="E138" s="191">
        <v>2571.8056</v>
      </c>
      <c r="F138" s="60">
        <v>40</v>
      </c>
      <c r="G138" s="142">
        <f>E138-D138</f>
        <v>6.080400000000282</v>
      </c>
      <c r="H138" s="60"/>
      <c r="I138" s="60">
        <f>ROUND(F138*G138+H138,0)</f>
        <v>243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</row>
    <row r="139" spans="1:113" ht="12.75">
      <c r="A139" s="63"/>
      <c r="B139" s="49" t="s">
        <v>231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302</v>
      </c>
      <c r="AX139" s="47"/>
      <c r="AY139" s="47"/>
      <c r="AZ139" s="47"/>
      <c r="BA139" s="47"/>
      <c r="BB139" s="47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</row>
    <row r="140" spans="1:113" ht="12.75">
      <c r="A140" s="48" t="s">
        <v>148</v>
      </c>
      <c r="B140" s="65"/>
      <c r="C140" s="106">
        <v>810120245</v>
      </c>
      <c r="D140" s="191">
        <v>1342.8478</v>
      </c>
      <c r="E140" s="191">
        <v>1343.1368</v>
      </c>
      <c r="F140" s="60">
        <v>3600</v>
      </c>
      <c r="G140" s="142">
        <f aca="true" t="shared" si="3" ref="G140:G145">E140-D140</f>
        <v>0.28899999999998727</v>
      </c>
      <c r="H140" s="60"/>
      <c r="I140" s="60">
        <f aca="true" t="shared" si="4" ref="I140:I145">ROUND(F140*G140+H140,0)</f>
        <v>1040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304</v>
      </c>
      <c r="AX140" s="47"/>
      <c r="AY140" s="47"/>
      <c r="AZ140" s="47"/>
      <c r="BA140" s="47"/>
      <c r="BB140" s="47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</row>
    <row r="141" spans="1:113" ht="12.75">
      <c r="A141" s="74"/>
      <c r="B141" s="65" t="s">
        <v>246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</row>
    <row r="142" spans="1:113" ht="12.75">
      <c r="A142" s="74"/>
      <c r="B142" s="65"/>
      <c r="C142" s="103">
        <v>4050284</v>
      </c>
      <c r="D142" s="121">
        <v>4378.2564</v>
      </c>
      <c r="E142" s="121">
        <v>4402.162</v>
      </c>
      <c r="F142" s="60">
        <v>3600</v>
      </c>
      <c r="G142" s="143">
        <f t="shared" si="3"/>
        <v>23.90560000000005</v>
      </c>
      <c r="H142" s="44"/>
      <c r="I142" s="60">
        <f t="shared" si="4"/>
        <v>86060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</row>
    <row r="143" spans="1:113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</row>
    <row r="144" spans="1:113" ht="12.75">
      <c r="A144" s="74" t="s">
        <v>149</v>
      </c>
      <c r="B144" s="48" t="s">
        <v>115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</row>
    <row r="145" spans="1:113" ht="12.75">
      <c r="A145" s="196"/>
      <c r="B145" s="74" t="s">
        <v>114</v>
      </c>
      <c r="C145" s="194">
        <v>611127492</v>
      </c>
      <c r="D145" s="191">
        <v>6281.5512</v>
      </c>
      <c r="E145" s="191">
        <v>6333.9172</v>
      </c>
      <c r="F145" s="60">
        <v>20</v>
      </c>
      <c r="G145" s="142">
        <f t="shared" si="3"/>
        <v>52.365999999999985</v>
      </c>
      <c r="H145" s="60"/>
      <c r="I145" s="60">
        <f t="shared" si="4"/>
        <v>1047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</row>
    <row r="146" spans="1:113" ht="12.75">
      <c r="A146" s="50" t="s">
        <v>150</v>
      </c>
      <c r="B146" s="48" t="s">
        <v>241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</row>
    <row r="147" spans="1:113" ht="12.75">
      <c r="A147" s="197"/>
      <c r="B147" s="70" t="s">
        <v>281</v>
      </c>
      <c r="C147" s="194">
        <v>611127702</v>
      </c>
      <c r="D147" s="191">
        <v>7097.8568</v>
      </c>
      <c r="E147" s="191">
        <v>7142.9656</v>
      </c>
      <c r="F147" s="60">
        <v>60</v>
      </c>
      <c r="G147" s="142">
        <f>E147-D147</f>
        <v>45.10880000000088</v>
      </c>
      <c r="H147" s="44"/>
      <c r="I147" s="60">
        <f>ROUND(F147*G147+H147,0)</f>
        <v>2707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</row>
    <row r="148" spans="1:113" ht="12.75">
      <c r="A148" s="63"/>
      <c r="B148" s="70" t="s">
        <v>282</v>
      </c>
      <c r="C148" s="194">
        <v>611127555</v>
      </c>
      <c r="D148" s="191">
        <v>2342.7232</v>
      </c>
      <c r="E148" s="191">
        <v>2450.0904</v>
      </c>
      <c r="F148" s="60">
        <v>60</v>
      </c>
      <c r="G148" s="142">
        <f>E148-D148</f>
        <v>107.36720000000014</v>
      </c>
      <c r="H148" s="44"/>
      <c r="I148" s="60">
        <f>ROUND(F148*G148+H148,0)</f>
        <v>6442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</row>
    <row r="149" spans="1:113" ht="12.75">
      <c r="A149" s="50" t="s">
        <v>151</v>
      </c>
      <c r="B149" s="48" t="s">
        <v>242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</row>
    <row r="150" spans="1:113" ht="12.75">
      <c r="A150" s="197"/>
      <c r="B150" s="74"/>
      <c r="C150" s="194">
        <v>1110171163</v>
      </c>
      <c r="D150" s="121">
        <v>650.1776</v>
      </c>
      <c r="E150" s="121">
        <v>685.0388</v>
      </c>
      <c r="F150" s="60">
        <v>60</v>
      </c>
      <c r="G150" s="142">
        <f>E150-D150</f>
        <v>34.86120000000005</v>
      </c>
      <c r="H150" s="44"/>
      <c r="I150" s="60">
        <f>ROUND(F150*G150+H150,0)</f>
        <v>2092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</row>
    <row r="151" spans="1:113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</row>
    <row r="152" spans="1:113" ht="12.75">
      <c r="A152" s="50" t="s">
        <v>152</v>
      </c>
      <c r="B152" s="48" t="s">
        <v>243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</row>
    <row r="153" spans="1:113" ht="12.75">
      <c r="A153" s="63"/>
      <c r="B153" s="74"/>
      <c r="C153" s="194">
        <v>1110171170</v>
      </c>
      <c r="D153" s="191">
        <v>221.8428</v>
      </c>
      <c r="E153" s="191">
        <v>228.06</v>
      </c>
      <c r="F153" s="60">
        <v>40</v>
      </c>
      <c r="G153" s="142">
        <f>E153-D153</f>
        <v>6.217199999999991</v>
      </c>
      <c r="H153" s="60"/>
      <c r="I153" s="60">
        <f>ROUND(F153*G153+H153,0)</f>
        <v>249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</row>
    <row r="154" spans="1:113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</row>
    <row r="155" spans="1:113" ht="12.75">
      <c r="A155" s="48" t="s">
        <v>153</v>
      </c>
      <c r="B155" s="52" t="s">
        <v>276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</row>
    <row r="156" spans="1:113" ht="12.75">
      <c r="A156" s="74"/>
      <c r="B156" s="65" t="s">
        <v>232</v>
      </c>
      <c r="C156" s="194">
        <v>611126404</v>
      </c>
      <c r="D156" s="191">
        <v>934.191</v>
      </c>
      <c r="E156" s="191">
        <v>947.5366</v>
      </c>
      <c r="F156" s="60">
        <v>1800</v>
      </c>
      <c r="G156" s="142">
        <f>E156-D156</f>
        <v>13.34559999999999</v>
      </c>
      <c r="H156" s="60"/>
      <c r="I156" s="60">
        <f>ROUND(F156*G156+H156,0)</f>
        <v>24022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</row>
    <row r="157" spans="1:113" ht="12.75">
      <c r="A157" s="49"/>
      <c r="B157" s="54" t="s">
        <v>247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</row>
    <row r="158" spans="1:113" ht="12.75">
      <c r="A158" s="63" t="s">
        <v>233</v>
      </c>
      <c r="B158" s="48" t="s">
        <v>244</v>
      </c>
      <c r="C158" s="194">
        <v>611127724</v>
      </c>
      <c r="D158" s="191">
        <v>708.1156</v>
      </c>
      <c r="E158" s="191">
        <v>717.032</v>
      </c>
      <c r="F158" s="60">
        <v>30</v>
      </c>
      <c r="G158" s="142">
        <f>E158-D158</f>
        <v>8.916400000000067</v>
      </c>
      <c r="H158" s="60"/>
      <c r="I158" s="60">
        <f>ROUND(F158*G158+H158,0)</f>
        <v>267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</row>
    <row r="159" spans="1:113" ht="12.75">
      <c r="A159" s="46"/>
      <c r="B159" s="74" t="s">
        <v>275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</row>
    <row r="160" spans="1:113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</row>
    <row r="161" spans="1:113" ht="12.75">
      <c r="A161" s="46"/>
      <c r="B161" s="53"/>
      <c r="C161" s="55"/>
      <c r="D161" s="55"/>
      <c r="E161" s="55"/>
      <c r="F161" s="55" t="s">
        <v>154</v>
      </c>
      <c r="G161" s="55"/>
      <c r="H161" s="56"/>
      <c r="I161" s="125">
        <f>SUM(I137:I159)-I160</f>
        <v>124169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</row>
    <row r="162" spans="1:113" ht="12.75">
      <c r="A162" s="45"/>
      <c r="B162" s="55"/>
      <c r="C162" s="55"/>
      <c r="D162" s="55"/>
      <c r="E162" s="55"/>
      <c r="F162" s="55"/>
      <c r="G162" s="55" t="s">
        <v>155</v>
      </c>
      <c r="H162" s="56"/>
      <c r="I162" s="125">
        <f>I103+I104+I107+I108+I109+I110-I134-I161</f>
        <v>3204021.6920000226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</row>
    <row r="163" spans="1:113" ht="12.75">
      <c r="A163" s="44" t="s">
        <v>162</v>
      </c>
      <c r="B163" s="45" t="s">
        <v>156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</row>
    <row r="164" spans="1:113" ht="12.75">
      <c r="A164" s="48" t="s">
        <v>160</v>
      </c>
      <c r="B164" s="48" t="s">
        <v>157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</row>
    <row r="165" spans="1:113" ht="12.75">
      <c r="A165" s="49"/>
      <c r="B165" s="49" t="s">
        <v>158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</row>
    <row r="166" spans="1:113" ht="12.75">
      <c r="A166" s="48" t="s">
        <v>161</v>
      </c>
      <c r="B166" s="48" t="s">
        <v>159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</row>
    <row r="167" spans="1:113" ht="12.75">
      <c r="A167" s="49"/>
      <c r="B167" s="49" t="s">
        <v>158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</row>
    <row r="168" spans="1:113" ht="12.75">
      <c r="A168" s="45"/>
      <c r="B168" s="55"/>
      <c r="C168" s="109"/>
      <c r="D168" s="92"/>
      <c r="E168" s="110"/>
      <c r="F168" s="110" t="s">
        <v>163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</row>
    <row r="169" spans="1:113" ht="12.75">
      <c r="A169" s="45"/>
      <c r="B169" s="55"/>
      <c r="C169" s="109"/>
      <c r="D169" s="92"/>
      <c r="E169" s="110"/>
      <c r="F169" s="110"/>
      <c r="G169" s="111" t="s">
        <v>164</v>
      </c>
      <c r="H169" s="56"/>
      <c r="I169" s="125">
        <f>I162+I168</f>
        <v>3204021.6920000226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</row>
    <row r="170" spans="1:113" ht="12.75">
      <c r="A170" s="50" t="s">
        <v>165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</row>
    <row r="171" spans="1:113" ht="12.75">
      <c r="A171" s="114" t="s">
        <v>290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</row>
    <row r="172" spans="1:113" ht="12.75">
      <c r="A172" s="64" t="s">
        <v>168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</row>
    <row r="173" spans="1:113" ht="12.75">
      <c r="A173" s="64"/>
      <c r="B173" s="64"/>
      <c r="C173" s="78"/>
      <c r="D173" s="202" t="s">
        <v>169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</row>
    <row r="174" spans="1:113" ht="12.75">
      <c r="A174" s="64"/>
      <c r="B174" s="64"/>
      <c r="C174" s="78"/>
      <c r="D174" s="202" t="s">
        <v>268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</row>
    <row r="175" spans="1:113" ht="12.75">
      <c r="A175" s="64"/>
      <c r="B175" s="64"/>
      <c r="C175" s="154"/>
      <c r="D175" s="202" t="s">
        <v>291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</row>
    <row r="176" spans="1:113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</row>
    <row r="177" spans="1:113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257</v>
      </c>
      <c r="BA177" s="47"/>
      <c r="BB177" s="47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</row>
    <row r="178" spans="1:113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251</v>
      </c>
      <c r="BA178" s="47" t="s">
        <v>27</v>
      </c>
      <c r="BB178" s="47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</row>
    <row r="179" spans="1:113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248</v>
      </c>
      <c r="AZ179" s="190">
        <f>AZ183+AZ184+AZ185</f>
        <v>3014175</v>
      </c>
      <c r="BA179" s="218">
        <f>AZ179*2.9</f>
        <v>8741107.5</v>
      </c>
      <c r="BB179" s="47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</row>
    <row r="180" spans="1:113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249</v>
      </c>
      <c r="AZ180" s="190">
        <f>AZ187-AZ179-AZ181</f>
        <v>-3014175</v>
      </c>
      <c r="BA180" s="218">
        <f>AZ180*2.9</f>
        <v>-8741107.5</v>
      </c>
      <c r="BB180" s="47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</row>
    <row r="181" spans="1:113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250</v>
      </c>
      <c r="AZ181" s="190">
        <f>AZ186</f>
        <v>0</v>
      </c>
      <c r="BA181" s="218">
        <f>AZ181*2.9</f>
        <v>0</v>
      </c>
      <c r="BB181" s="47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</row>
    <row r="182" spans="52:113" ht="12.75">
      <c r="AZ182" s="216"/>
      <c r="BA182" s="216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</row>
    <row r="183" spans="51:113" ht="12.75">
      <c r="AY183" s="47" t="s">
        <v>252</v>
      </c>
      <c r="AZ183" s="217">
        <v>2742934</v>
      </c>
      <c r="BA183" s="216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</row>
    <row r="184" spans="51:113" ht="12.75">
      <c r="AY184" s="47" t="s">
        <v>253</v>
      </c>
      <c r="AZ184" s="217">
        <f>AZ95</f>
        <v>89388</v>
      </c>
      <c r="BA184" s="216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</row>
    <row r="185" spans="51:113" ht="12.75">
      <c r="AY185" s="47" t="s">
        <v>255</v>
      </c>
      <c r="AZ185" s="217">
        <v>181853</v>
      </c>
      <c r="BA185" s="216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</row>
    <row r="186" spans="51:113" ht="12.75">
      <c r="AY186" s="47"/>
      <c r="AZ186" s="217"/>
      <c r="BA186" s="216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</row>
    <row r="187" spans="51:113" ht="12.75">
      <c r="AY187" s="47"/>
      <c r="AZ187" s="217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</row>
    <row r="188" spans="55:113" ht="12.75"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</row>
    <row r="189" spans="55:113" ht="12.75"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</row>
    <row r="190" spans="55:113" ht="12.75"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</row>
    <row r="191" spans="55:113" ht="12.75"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</row>
    <row r="192" spans="1:113" ht="12.75">
      <c r="A192" s="3"/>
      <c r="B192" s="3"/>
      <c r="C192" s="3"/>
      <c r="D192" s="3"/>
      <c r="E192" s="3"/>
      <c r="F192" s="3"/>
      <c r="G192" s="3"/>
      <c r="H192" s="3"/>
      <c r="I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</row>
    <row r="193" spans="1:113" ht="12.75">
      <c r="A193" s="3"/>
      <c r="B193" s="3"/>
      <c r="C193" s="3"/>
      <c r="D193" s="3"/>
      <c r="E193" s="3"/>
      <c r="F193" s="3"/>
      <c r="G193" s="3"/>
      <c r="H193" s="3"/>
      <c r="I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</row>
    <row r="194" spans="1:113" ht="12.75">
      <c r="A194" s="3"/>
      <c r="B194" s="3"/>
      <c r="C194" s="3"/>
      <c r="D194" s="3"/>
      <c r="E194" s="3"/>
      <c r="F194" s="3"/>
      <c r="G194" s="3"/>
      <c r="H194" s="3"/>
      <c r="I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</row>
    <row r="195" spans="1:113" ht="12.75">
      <c r="A195" s="3"/>
      <c r="B195" s="3"/>
      <c r="C195" s="3"/>
      <c r="D195" s="3"/>
      <c r="E195" s="3"/>
      <c r="F195" s="3"/>
      <c r="G195" s="3"/>
      <c r="H195" s="3"/>
      <c r="I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</row>
    <row r="196" spans="1:113" ht="12.75">
      <c r="A196" s="3"/>
      <c r="B196" s="3"/>
      <c r="C196" s="3"/>
      <c r="D196" s="228"/>
      <c r="E196" s="228"/>
      <c r="F196" s="228"/>
      <c r="G196" s="228"/>
      <c r="H196" s="228"/>
      <c r="I196" s="60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</row>
    <row r="197" spans="1:113" ht="12.75">
      <c r="A197" s="3"/>
      <c r="B197" s="3"/>
      <c r="C197" s="3"/>
      <c r="D197" s="3"/>
      <c r="E197" s="3"/>
      <c r="F197" s="3"/>
      <c r="G197" s="3"/>
      <c r="H197" s="3"/>
      <c r="I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</row>
    <row r="198" spans="1:113" ht="12.75">
      <c r="A198" s="8"/>
      <c r="B198" s="8"/>
      <c r="C198" s="8"/>
      <c r="D198" s="8"/>
      <c r="E198" s="8"/>
      <c r="F198" s="8"/>
      <c r="G198" s="8"/>
      <c r="H198" s="8"/>
      <c r="I198" s="8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</row>
    <row r="199" spans="1:113" ht="12.75">
      <c r="A199" s="8"/>
      <c r="B199" s="8"/>
      <c r="C199" s="8"/>
      <c r="D199" s="8"/>
      <c r="E199" s="8"/>
      <c r="F199" s="8"/>
      <c r="G199" s="8"/>
      <c r="H199" s="8"/>
      <c r="I199" s="8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</row>
    <row r="200" spans="1:113" ht="12.75">
      <c r="A200" s="8"/>
      <c r="B200" s="8"/>
      <c r="C200" s="8"/>
      <c r="D200" s="8"/>
      <c r="E200" s="8"/>
      <c r="F200" s="8"/>
      <c r="G200" s="8"/>
      <c r="H200" s="8"/>
      <c r="I200" s="8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</row>
    <row r="201" spans="1:113" ht="12.75">
      <c r="A201" s="8"/>
      <c r="B201" s="8"/>
      <c r="C201" s="8"/>
      <c r="D201" s="8"/>
      <c r="E201" s="7"/>
      <c r="F201" s="7"/>
      <c r="G201" s="8"/>
      <c r="H201" s="8"/>
      <c r="I201" s="8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</row>
    <row r="202" spans="1:113" ht="12.75">
      <c r="A202" s="28"/>
      <c r="B202" s="28"/>
      <c r="C202" s="28"/>
      <c r="D202" s="28"/>
      <c r="E202" s="28"/>
      <c r="F202" s="28"/>
      <c r="G202" s="28"/>
      <c r="H202" s="28"/>
      <c r="I202" s="28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</row>
    <row r="203" spans="1:113" ht="12.75">
      <c r="A203" s="8"/>
      <c r="B203" s="8"/>
      <c r="C203" s="8"/>
      <c r="D203" s="8"/>
      <c r="E203" s="31"/>
      <c r="F203" s="31"/>
      <c r="G203" s="8"/>
      <c r="H203" s="8"/>
      <c r="I203" s="32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</row>
    <row r="204" spans="1:113" ht="12.75">
      <c r="A204" s="8"/>
      <c r="B204" s="8"/>
      <c r="C204" s="8"/>
      <c r="D204" s="33"/>
      <c r="E204" s="31"/>
      <c r="F204" s="8"/>
      <c r="G204" s="8"/>
      <c r="H204" s="8"/>
      <c r="I204" s="32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</row>
    <row r="205" spans="1:113" ht="12.75">
      <c r="A205" s="8"/>
      <c r="B205" s="8"/>
      <c r="C205" s="8"/>
      <c r="D205" s="8"/>
      <c r="E205" s="8"/>
      <c r="F205" s="8"/>
      <c r="G205" s="8"/>
      <c r="H205" s="8"/>
      <c r="I205" s="32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</row>
    <row r="206" spans="1:113" ht="12.75">
      <c r="A206" s="28"/>
      <c r="B206" s="8"/>
      <c r="C206" s="8"/>
      <c r="D206" s="8"/>
      <c r="E206" s="8"/>
      <c r="F206" s="8"/>
      <c r="G206" s="8"/>
      <c r="H206" s="8"/>
      <c r="I206" s="32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</row>
    <row r="207" spans="1:113" ht="12.75">
      <c r="A207" s="34"/>
      <c r="B207" s="34"/>
      <c r="C207" s="34"/>
      <c r="D207" s="34"/>
      <c r="E207" s="34"/>
      <c r="F207" s="34"/>
      <c r="G207" s="34"/>
      <c r="H207" s="34"/>
      <c r="I207" s="35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</row>
    <row r="208" spans="1:113" ht="12.75">
      <c r="A208" s="8"/>
      <c r="B208" s="8"/>
      <c r="C208" s="8"/>
      <c r="D208" s="8"/>
      <c r="E208" s="8"/>
      <c r="F208" s="8"/>
      <c r="G208" s="8"/>
      <c r="H208" s="8"/>
      <c r="I208" s="32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</row>
    <row r="209" spans="1:113" ht="12.75">
      <c r="A209" s="8"/>
      <c r="B209" s="8"/>
      <c r="C209" s="8"/>
      <c r="D209" s="8"/>
      <c r="E209" s="8"/>
      <c r="F209" s="8"/>
      <c r="G209" s="8"/>
      <c r="H209" s="8"/>
      <c r="I209" s="32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</row>
    <row r="210" spans="1:113" ht="12.75">
      <c r="A210" s="8"/>
      <c r="B210" s="8"/>
      <c r="C210" s="8"/>
      <c r="D210" s="8"/>
      <c r="E210" s="8"/>
      <c r="F210" s="8"/>
      <c r="G210" s="8"/>
      <c r="H210" s="8"/>
      <c r="I210" s="32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</row>
    <row r="211" spans="1:113" ht="12.75">
      <c r="A211" s="8"/>
      <c r="B211" s="8"/>
      <c r="C211" s="8"/>
      <c r="D211" s="8"/>
      <c r="E211" s="8"/>
      <c r="F211" s="8"/>
      <c r="G211" s="8"/>
      <c r="H211" s="8"/>
      <c r="I211" s="8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</row>
    <row r="212" spans="1:113" ht="12.75">
      <c r="A212" s="8"/>
      <c r="B212" s="8"/>
      <c r="C212" s="8"/>
      <c r="D212" s="8"/>
      <c r="E212" s="8"/>
      <c r="F212" s="8"/>
      <c r="G212" s="8"/>
      <c r="H212" s="8"/>
      <c r="I212" s="8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</row>
    <row r="213" spans="1:113" ht="13.5">
      <c r="A213" s="24"/>
      <c r="B213" s="28"/>
      <c r="C213" s="28"/>
      <c r="D213" s="28"/>
      <c r="E213" s="28"/>
      <c r="F213" s="28"/>
      <c r="G213" s="36"/>
      <c r="H213" s="28"/>
      <c r="I213" s="8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</row>
    <row r="214" spans="1:113" ht="12.75">
      <c r="A214" s="8"/>
      <c r="B214" s="8"/>
      <c r="C214" s="8"/>
      <c r="D214" s="8"/>
      <c r="E214" s="8"/>
      <c r="F214" s="8"/>
      <c r="G214" s="8"/>
      <c r="H214" s="8"/>
      <c r="I214" s="8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</row>
    <row r="215" spans="1:113" ht="12.75">
      <c r="A215" s="8"/>
      <c r="B215" s="8"/>
      <c r="C215" s="8"/>
      <c r="D215" s="8"/>
      <c r="E215" s="8"/>
      <c r="F215" s="8"/>
      <c r="G215" s="8"/>
      <c r="H215" s="8"/>
      <c r="I215" s="8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</row>
    <row r="216" spans="1:113" ht="12.75">
      <c r="A216" s="3"/>
      <c r="B216" s="3"/>
      <c r="C216" s="3"/>
      <c r="D216" s="3"/>
      <c r="E216" s="3"/>
      <c r="F216" s="3"/>
      <c r="G216" s="3"/>
      <c r="H216" s="3"/>
      <c r="I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</row>
    <row r="217" spans="1:113" ht="12.75">
      <c r="A217" s="3"/>
      <c r="B217" s="3"/>
      <c r="C217" s="3"/>
      <c r="D217" s="3"/>
      <c r="E217" s="3"/>
      <c r="F217" s="3"/>
      <c r="G217" s="3"/>
      <c r="H217" s="3"/>
      <c r="I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</row>
    <row r="218" spans="1:113" ht="12.75">
      <c r="A218" s="3"/>
      <c r="B218" s="2"/>
      <c r="C218" s="2"/>
      <c r="D218" s="2"/>
      <c r="E218" s="2"/>
      <c r="F218" s="2"/>
      <c r="G218" s="2"/>
      <c r="H218" s="2"/>
      <c r="I218" s="2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</row>
    <row r="219" spans="1:113" ht="12.75">
      <c r="A219" s="2"/>
      <c r="B219" s="2"/>
      <c r="C219" s="2"/>
      <c r="D219" s="2"/>
      <c r="E219" s="3"/>
      <c r="F219" s="2"/>
      <c r="G219" s="2"/>
      <c r="H219" s="2"/>
      <c r="I219" s="2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</row>
    <row r="220" spans="1:113" ht="12.75">
      <c r="A220" s="3"/>
      <c r="B220" s="3"/>
      <c r="C220" s="3"/>
      <c r="D220" s="3"/>
      <c r="E220" s="3"/>
      <c r="F220" s="3"/>
      <c r="G220" s="3"/>
      <c r="H220" s="3"/>
      <c r="I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</row>
    <row r="221" spans="1:113" ht="12.75">
      <c r="A221" s="3"/>
      <c r="B221" s="3"/>
      <c r="C221" s="3"/>
      <c r="D221" s="3"/>
      <c r="E221" s="3"/>
      <c r="F221" s="3"/>
      <c r="G221" s="3"/>
      <c r="H221" s="3"/>
      <c r="I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</row>
    <row r="222" spans="1:113" ht="12.75">
      <c r="A222" s="3"/>
      <c r="B222" s="3"/>
      <c r="C222" s="3"/>
      <c r="D222" s="3"/>
      <c r="E222" s="3"/>
      <c r="F222" s="3"/>
      <c r="G222" s="3"/>
      <c r="H222" s="3"/>
      <c r="I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</row>
    <row r="223" spans="1:113" ht="12.75">
      <c r="A223" s="3"/>
      <c r="B223" s="3"/>
      <c r="C223" s="3"/>
      <c r="D223" s="3"/>
      <c r="E223" s="3"/>
      <c r="F223" s="3"/>
      <c r="G223" s="3"/>
      <c r="H223" s="3"/>
      <c r="I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</row>
    <row r="224" spans="1:113" ht="12.75">
      <c r="A224" s="3"/>
      <c r="B224" s="3"/>
      <c r="C224" s="3"/>
      <c r="D224" s="3"/>
      <c r="E224" s="3"/>
      <c r="F224" s="3"/>
      <c r="G224" s="3"/>
      <c r="H224" s="3"/>
      <c r="I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</row>
    <row r="225" spans="1:113" ht="12.75">
      <c r="A225" s="3"/>
      <c r="B225" s="3"/>
      <c r="C225" s="3"/>
      <c r="D225" s="3"/>
      <c r="E225" s="3"/>
      <c r="F225" s="3"/>
      <c r="G225" s="3"/>
      <c r="H225" s="3"/>
      <c r="I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</row>
    <row r="226" spans="1:113" ht="12.75">
      <c r="A226" s="3"/>
      <c r="B226" s="3"/>
      <c r="C226" s="3"/>
      <c r="D226" s="3"/>
      <c r="E226" s="3"/>
      <c r="F226" s="3"/>
      <c r="G226" s="3"/>
      <c r="H226" s="3"/>
      <c r="I226" s="3"/>
      <c r="S226" s="3"/>
      <c r="T226" s="3"/>
      <c r="U226" s="3"/>
      <c r="V226" s="3"/>
      <c r="W226" s="3"/>
      <c r="X226" s="3"/>
      <c r="Y226" s="3"/>
      <c r="Z226" s="3"/>
      <c r="AA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</row>
    <row r="227" spans="1:113" ht="12.75">
      <c r="A227" s="3"/>
      <c r="B227" s="3"/>
      <c r="C227" s="3"/>
      <c r="D227" s="3"/>
      <c r="E227" s="3"/>
      <c r="F227" s="3"/>
      <c r="G227" s="3"/>
      <c r="H227" s="3"/>
      <c r="I227" s="3"/>
      <c r="S227" s="3"/>
      <c r="T227" s="3"/>
      <c r="U227" s="3"/>
      <c r="V227" s="3"/>
      <c r="W227" s="3"/>
      <c r="X227" s="3"/>
      <c r="Y227" s="3"/>
      <c r="Z227" s="3"/>
      <c r="AA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</row>
    <row r="228" spans="1:113" ht="12.75">
      <c r="A228" s="3"/>
      <c r="B228" s="3"/>
      <c r="C228" s="3"/>
      <c r="D228" s="3"/>
      <c r="E228" s="3"/>
      <c r="F228" s="3"/>
      <c r="G228" s="3"/>
      <c r="H228" s="3"/>
      <c r="I228" s="3"/>
      <c r="S228" s="3"/>
      <c r="T228" s="3"/>
      <c r="U228" s="3"/>
      <c r="V228" s="3"/>
      <c r="W228" s="3"/>
      <c r="X228" s="3"/>
      <c r="Y228" s="3"/>
      <c r="Z228" s="3"/>
      <c r="AA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</row>
    <row r="229" spans="1:113" ht="12.75">
      <c r="A229" s="3"/>
      <c r="B229" s="3"/>
      <c r="C229" s="3"/>
      <c r="D229" s="3"/>
      <c r="E229" s="3"/>
      <c r="F229" s="3"/>
      <c r="G229" s="3"/>
      <c r="H229" s="3"/>
      <c r="I229" s="3"/>
      <c r="S229" s="3"/>
      <c r="T229" s="3"/>
      <c r="U229" s="3"/>
      <c r="V229" s="3"/>
      <c r="W229" s="3"/>
      <c r="X229" s="3"/>
      <c r="Y229" s="3"/>
      <c r="Z229" s="3"/>
      <c r="AA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</row>
    <row r="230" spans="1:113" ht="12.75">
      <c r="A230" s="21"/>
      <c r="B230" s="3"/>
      <c r="C230" s="3"/>
      <c r="D230" s="3"/>
      <c r="E230" s="3"/>
      <c r="F230" s="3"/>
      <c r="G230" s="3"/>
      <c r="H230" s="3"/>
      <c r="I230" s="3"/>
      <c r="S230" s="3"/>
      <c r="T230" s="3"/>
      <c r="U230" s="3"/>
      <c r="V230" s="3"/>
      <c r="W230" s="3"/>
      <c r="X230" s="3"/>
      <c r="Y230" s="3"/>
      <c r="Z230" s="3"/>
      <c r="AA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</row>
    <row r="231" spans="1:113" ht="12.75">
      <c r="A231" s="3"/>
      <c r="B231" s="3"/>
      <c r="C231" s="3"/>
      <c r="D231" s="3"/>
      <c r="E231" s="3"/>
      <c r="F231" s="3"/>
      <c r="G231" s="3"/>
      <c r="H231" s="3"/>
      <c r="I231" s="3"/>
      <c r="S231" s="3"/>
      <c r="T231" s="3"/>
      <c r="U231" s="3"/>
      <c r="V231" s="3"/>
      <c r="W231" s="3"/>
      <c r="X231" s="3"/>
      <c r="Y231" s="3"/>
      <c r="Z231" s="3"/>
      <c r="AA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</row>
    <row r="232" spans="19:113" ht="12.75">
      <c r="S232" s="3"/>
      <c r="T232" s="3"/>
      <c r="U232" s="3"/>
      <c r="V232" s="3"/>
      <c r="W232" s="3"/>
      <c r="X232" s="3"/>
      <c r="Y232" s="3"/>
      <c r="Z232" s="3"/>
      <c r="AA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</row>
    <row r="233" spans="19:113" ht="12.75">
      <c r="S233" s="3"/>
      <c r="T233" s="3"/>
      <c r="U233" s="3"/>
      <c r="V233" s="3"/>
      <c r="W233" s="3"/>
      <c r="X233" s="3"/>
      <c r="Y233" s="3"/>
      <c r="Z233" s="3"/>
      <c r="AA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</row>
    <row r="234" spans="19:113" ht="12.75">
      <c r="S234" s="3"/>
      <c r="T234" s="3"/>
      <c r="U234" s="3"/>
      <c r="V234" s="3"/>
      <c r="W234" s="3"/>
      <c r="X234" s="3"/>
      <c r="Y234" s="3"/>
      <c r="Z234" s="3"/>
      <c r="AA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</row>
    <row r="235" spans="19:113" ht="12.75">
      <c r="S235" s="3"/>
      <c r="T235" s="3"/>
      <c r="U235" s="3"/>
      <c r="V235" s="3"/>
      <c r="W235" s="3"/>
      <c r="X235" s="3"/>
      <c r="Y235" s="3"/>
      <c r="Z235" s="3"/>
      <c r="AA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</row>
    <row r="236" spans="19:113" ht="12.75">
      <c r="S236" s="3"/>
      <c r="T236" s="3"/>
      <c r="U236" s="3"/>
      <c r="V236" s="3"/>
      <c r="W236" s="3"/>
      <c r="X236" s="3"/>
      <c r="Y236" s="3"/>
      <c r="Z236" s="3"/>
      <c r="AA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</row>
    <row r="237" spans="19:113" ht="12.75">
      <c r="S237" s="9"/>
      <c r="T237" s="20"/>
      <c r="U237" s="15"/>
      <c r="V237" s="15"/>
      <c r="W237" s="18"/>
      <c r="X237" s="19"/>
      <c r="Y237" s="15"/>
      <c r="Z237" s="9"/>
      <c r="AA237" s="10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</row>
    <row r="238" spans="19:113" ht="12.75">
      <c r="S238" s="13"/>
      <c r="T238" s="8"/>
      <c r="U238" s="16"/>
      <c r="V238" s="16"/>
      <c r="W238" s="15"/>
      <c r="X238" s="15"/>
      <c r="Y238" s="16"/>
      <c r="Z238" s="13"/>
      <c r="AA238" s="14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</row>
    <row r="239" spans="19:113" ht="12.75">
      <c r="S239" s="11"/>
      <c r="T239" s="6"/>
      <c r="U239" s="17"/>
      <c r="V239" s="17"/>
      <c r="W239" s="22"/>
      <c r="X239" s="22"/>
      <c r="Y239" s="17"/>
      <c r="Z239" s="11"/>
      <c r="AA239" s="12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</row>
    <row r="240" spans="19:113" ht="12.75">
      <c r="S240" s="25"/>
      <c r="T240" s="23"/>
      <c r="U240" s="23"/>
      <c r="V240" s="23"/>
      <c r="W240" s="23"/>
      <c r="X240" s="23"/>
      <c r="Y240" s="23"/>
      <c r="Z240" s="23"/>
      <c r="AA240" s="30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</row>
    <row r="241" spans="19:113" ht="12.75">
      <c r="S241" s="9"/>
      <c r="T241" s="20"/>
      <c r="U241" s="37"/>
      <c r="V241" s="19"/>
      <c r="W241" s="5"/>
      <c r="X241" s="5"/>
      <c r="Y241" s="29"/>
      <c r="Z241" s="1"/>
      <c r="AA241" s="26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</row>
    <row r="242" spans="19:113" ht="12.75">
      <c r="S242" s="13"/>
      <c r="T242" s="8"/>
      <c r="U242" s="38"/>
      <c r="V242" s="19"/>
      <c r="W242" s="5"/>
      <c r="X242" s="5"/>
      <c r="Y242" s="1"/>
      <c r="Z242" s="1"/>
      <c r="AA242" s="26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</row>
    <row r="243" spans="19:113" ht="12.75">
      <c r="S243" s="9"/>
      <c r="T243" s="20"/>
      <c r="U243" s="37"/>
      <c r="V243" s="19"/>
      <c r="W243" s="5"/>
      <c r="X243" s="5"/>
      <c r="Y243" s="1"/>
      <c r="Z243" s="1"/>
      <c r="AA243" s="26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</row>
    <row r="244" spans="19:113" ht="12.75">
      <c r="S244" s="13"/>
      <c r="T244" s="8"/>
      <c r="U244" s="38"/>
      <c r="V244" s="19"/>
      <c r="W244" s="5"/>
      <c r="X244" s="5"/>
      <c r="Y244" s="1"/>
      <c r="Z244" s="1"/>
      <c r="AA244" s="26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</row>
    <row r="245" spans="19:113" ht="12.75">
      <c r="S245" s="9"/>
      <c r="T245" s="20"/>
      <c r="U245" s="37"/>
      <c r="V245" s="19"/>
      <c r="W245" s="5"/>
      <c r="X245" s="5"/>
      <c r="Y245" s="1"/>
      <c r="Z245" s="1"/>
      <c r="AA245" s="26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</row>
    <row r="246" spans="19:113" ht="12.75">
      <c r="S246" s="13"/>
      <c r="T246" s="8"/>
      <c r="U246" s="38"/>
      <c r="V246" s="19"/>
      <c r="W246" s="1"/>
      <c r="X246" s="5"/>
      <c r="Y246" s="1"/>
      <c r="Z246" s="1"/>
      <c r="AA246" s="26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</row>
    <row r="247" spans="19:113" ht="12.75">
      <c r="S247" s="9"/>
      <c r="T247" s="20"/>
      <c r="U247" s="37"/>
      <c r="V247" s="19"/>
      <c r="W247" s="5"/>
      <c r="X247" s="5"/>
      <c r="Y247" s="1"/>
      <c r="Z247" s="1"/>
      <c r="AA247" s="26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</row>
    <row r="248" spans="19:113" ht="12.75">
      <c r="S248" s="13"/>
      <c r="T248" s="8"/>
      <c r="U248" s="38"/>
      <c r="V248" s="19"/>
      <c r="W248" s="5"/>
      <c r="X248" s="5"/>
      <c r="Y248" s="1"/>
      <c r="Z248" s="1"/>
      <c r="AA248" s="26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</row>
    <row r="249" spans="19:113" ht="12.75">
      <c r="S249" s="9"/>
      <c r="T249" s="20"/>
      <c r="U249" s="37"/>
      <c r="V249" s="19"/>
      <c r="W249" s="5"/>
      <c r="X249" s="5"/>
      <c r="Y249" s="1"/>
      <c r="Z249" s="1"/>
      <c r="AA249" s="26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</row>
    <row r="250" spans="19:113" ht="12.75">
      <c r="S250" s="11"/>
      <c r="T250" s="6"/>
      <c r="U250" s="38"/>
      <c r="V250" s="19"/>
      <c r="W250" s="5"/>
      <c r="X250" s="5"/>
      <c r="Y250" s="1"/>
      <c r="Z250" s="1"/>
      <c r="AA250" s="26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</row>
    <row r="251" spans="19:113" ht="12.75">
      <c r="S251" s="13"/>
      <c r="T251" s="8"/>
      <c r="U251" s="37"/>
      <c r="V251" s="19"/>
      <c r="W251" s="1"/>
      <c r="X251" s="5"/>
      <c r="Y251" s="1"/>
      <c r="Z251" s="1"/>
      <c r="AA251" s="26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</row>
    <row r="252" spans="19:113" ht="12.75">
      <c r="S252" s="11"/>
      <c r="T252" s="6"/>
      <c r="U252" s="38"/>
      <c r="V252" s="19"/>
      <c r="W252" s="1"/>
      <c r="X252" s="5"/>
      <c r="Y252" s="1"/>
      <c r="Z252" s="1"/>
      <c r="AA252" s="26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</row>
    <row r="253" spans="19:113" ht="12.75">
      <c r="S253" s="13"/>
      <c r="T253" s="8"/>
      <c r="U253" s="37"/>
      <c r="V253" s="19"/>
      <c r="W253" s="1"/>
      <c r="X253" s="5"/>
      <c r="Y253" s="1"/>
      <c r="Z253" s="1"/>
      <c r="AA253" s="26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</row>
    <row r="254" spans="19:113" ht="12.75">
      <c r="S254" s="11"/>
      <c r="T254" s="6"/>
      <c r="U254" s="38"/>
      <c r="V254" s="19"/>
      <c r="W254" s="1"/>
      <c r="X254" s="5"/>
      <c r="Y254" s="1"/>
      <c r="Z254" s="1"/>
      <c r="AA254" s="26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</row>
    <row r="255" spans="19:113" ht="12.75">
      <c r="S255" s="13"/>
      <c r="T255" s="8"/>
      <c r="U255" s="37"/>
      <c r="V255" s="19"/>
      <c r="W255" s="5"/>
      <c r="X255" s="5"/>
      <c r="Y255" s="1"/>
      <c r="Z255" s="1"/>
      <c r="AA255" s="26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</row>
    <row r="256" spans="19:113" ht="12.75">
      <c r="S256" s="11"/>
      <c r="T256" s="43"/>
      <c r="U256" s="39"/>
      <c r="V256" s="19"/>
      <c r="W256" s="5"/>
      <c r="X256" s="5"/>
      <c r="Y256" s="1"/>
      <c r="Z256" s="1"/>
      <c r="AA256" s="26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</row>
    <row r="257" spans="19:27" ht="12.75">
      <c r="S257" s="13"/>
      <c r="T257" s="14"/>
      <c r="U257" s="40"/>
      <c r="V257" s="1"/>
      <c r="W257" s="5"/>
      <c r="X257" s="5"/>
      <c r="Y257" s="1"/>
      <c r="Z257" s="1"/>
      <c r="AA257" s="26"/>
    </row>
    <row r="258" spans="19:27" ht="12.75">
      <c r="S258" s="11"/>
      <c r="T258" s="12"/>
      <c r="U258" s="41"/>
      <c r="V258" s="1"/>
      <c r="W258" s="5"/>
      <c r="X258" s="5"/>
      <c r="Y258" s="1"/>
      <c r="Z258" s="1"/>
      <c r="AA258" s="26"/>
    </row>
    <row r="259" spans="19:27" ht="12.75">
      <c r="S259" s="17"/>
      <c r="T259" s="17"/>
      <c r="U259" s="42"/>
      <c r="V259" s="1"/>
      <c r="W259" s="1"/>
      <c r="X259" s="1"/>
      <c r="Y259" s="1"/>
      <c r="Z259" s="1"/>
      <c r="AA259" s="26"/>
    </row>
    <row r="260" spans="19:27" ht="12.75">
      <c r="S260" s="1"/>
      <c r="T260" s="1"/>
      <c r="U260" s="42"/>
      <c r="V260" s="1"/>
      <c r="W260" s="5"/>
      <c r="X260" s="5"/>
      <c r="Y260" s="1"/>
      <c r="Z260" s="1"/>
      <c r="AA260" s="26"/>
    </row>
    <row r="261" spans="19:27" ht="12.75">
      <c r="S261" s="4"/>
      <c r="T261" s="1"/>
      <c r="U261" s="1"/>
      <c r="V261" s="1"/>
      <c r="W261" s="1"/>
      <c r="X261" s="1"/>
      <c r="Y261" s="1"/>
      <c r="Z261" s="1"/>
      <c r="AA261" s="27"/>
    </row>
    <row r="262" spans="19:27" ht="12.75">
      <c r="S262" s="4"/>
      <c r="T262" s="1"/>
      <c r="U262" s="1"/>
      <c r="V262" s="1"/>
      <c r="W262" s="1"/>
      <c r="X262" s="1"/>
      <c r="Y262" s="1"/>
      <c r="Z262" s="1"/>
      <c r="AA262" s="27"/>
    </row>
    <row r="263" spans="19:27" ht="12.75">
      <c r="S263" s="3"/>
      <c r="T263" s="3"/>
      <c r="U263" s="3"/>
      <c r="V263" s="3"/>
      <c r="W263" s="3"/>
      <c r="X263" s="3"/>
      <c r="Y263" s="3"/>
      <c r="Z263" s="3"/>
      <c r="AA263" s="3"/>
    </row>
    <row r="264" spans="19:27" ht="12.75">
      <c r="S264" s="3"/>
      <c r="T264" s="3"/>
      <c r="U264" s="3"/>
      <c r="V264" s="3"/>
      <c r="W264" s="3"/>
      <c r="X264" s="3"/>
      <c r="Y264" s="3"/>
      <c r="Z264" s="3"/>
      <c r="AA264" s="3"/>
    </row>
    <row r="265" spans="19:27" ht="12.75">
      <c r="S265" s="3"/>
      <c r="T265" s="3"/>
      <c r="U265" s="3"/>
      <c r="V265" s="3"/>
      <c r="W265" s="3"/>
      <c r="X265" s="3"/>
      <c r="Y265" s="3"/>
      <c r="Z265" s="3"/>
      <c r="AA265" s="3"/>
    </row>
    <row r="266" spans="19:27" ht="12.75">
      <c r="S266" s="3"/>
      <c r="T266" s="3"/>
      <c r="U266" s="3"/>
      <c r="V266" s="3"/>
      <c r="W266" s="3"/>
      <c r="X266" s="3"/>
      <c r="Y266" s="3"/>
      <c r="Z266" s="3"/>
      <c r="AA266" s="3"/>
    </row>
    <row r="267" spans="19:27" ht="12.75">
      <c r="S267" s="3"/>
      <c r="T267" s="3"/>
      <c r="U267" s="3"/>
      <c r="V267" s="3"/>
      <c r="W267" s="3"/>
      <c r="X267" s="3"/>
      <c r="Y267" s="3"/>
      <c r="Z267" s="3"/>
      <c r="AA267" s="3"/>
    </row>
    <row r="274" spans="19:27" ht="12.75">
      <c r="S274" s="3"/>
      <c r="T274" s="3"/>
      <c r="U274" s="3"/>
      <c r="V274" s="3"/>
      <c r="W274" s="3"/>
      <c r="X274" s="3"/>
      <c r="Y274" s="3"/>
      <c r="Z274" s="3"/>
      <c r="AA274" s="3"/>
    </row>
    <row r="275" spans="19:27" ht="12.75">
      <c r="S275" s="3"/>
      <c r="T275" s="3"/>
      <c r="U275" s="3"/>
      <c r="V275" s="3"/>
      <c r="W275" s="3"/>
      <c r="X275" s="3"/>
      <c r="Y275" s="3"/>
      <c r="Z275" s="3"/>
      <c r="AA275" s="3"/>
    </row>
    <row r="276" spans="19:27" ht="12.75">
      <c r="S276" s="3"/>
      <c r="T276" s="3"/>
      <c r="U276" s="3"/>
      <c r="V276" s="3"/>
      <c r="W276" s="3"/>
      <c r="X276" s="3"/>
      <c r="Y276" s="3"/>
      <c r="Z276" s="3"/>
      <c r="AA276" s="3"/>
    </row>
    <row r="277" spans="19:27" ht="12.75">
      <c r="S277" s="3"/>
      <c r="T277" s="3"/>
      <c r="U277" s="3"/>
      <c r="V277" s="3"/>
      <c r="W277" s="3"/>
      <c r="X277" s="3"/>
      <c r="Y277" s="3"/>
      <c r="Z277" s="3"/>
      <c r="AA277" s="3"/>
    </row>
    <row r="278" spans="19:27" ht="12.75">
      <c r="S278" s="3"/>
      <c r="T278" s="3"/>
      <c r="U278" s="3"/>
      <c r="V278" s="3"/>
      <c r="W278" s="3"/>
      <c r="X278" s="3"/>
      <c r="Y278" s="3"/>
      <c r="Z278" s="3"/>
      <c r="AA278" s="3"/>
    </row>
    <row r="279" spans="19:27" ht="12.75">
      <c r="S279" s="3"/>
      <c r="T279" s="3"/>
      <c r="U279" s="3"/>
      <c r="V279" s="3"/>
      <c r="W279" s="3"/>
      <c r="X279" s="3"/>
      <c r="Y279" s="3"/>
      <c r="Z279" s="3"/>
      <c r="AA279" s="3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20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125" style="0" customWidth="1"/>
    <col min="4" max="5" width="11.00390625" style="0" customWidth="1"/>
    <col min="6" max="6" width="9.375" style="0" customWidth="1"/>
    <col min="7" max="7" width="9.25390625" style="0" customWidth="1"/>
    <col min="9" max="9" width="12.25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375" style="0" customWidth="1"/>
    <col min="17" max="17" width="10.125" style="0" customWidth="1"/>
    <col min="18" max="18" width="11.625" style="0" customWidth="1"/>
    <col min="19" max="19" width="6.375" style="0" customWidth="1"/>
    <col min="21" max="21" width="12.625" style="0" customWidth="1"/>
    <col min="22" max="22" width="24.875" style="0" customWidth="1"/>
    <col min="23" max="23" width="14.375" style="0" customWidth="1"/>
    <col min="24" max="24" width="13.625" style="0" customWidth="1"/>
    <col min="25" max="25" width="12.75390625" style="0" customWidth="1"/>
    <col min="26" max="27" width="13.00390625" style="0" customWidth="1"/>
    <col min="28" max="28" width="6.875" style="0" customWidth="1"/>
    <col min="31" max="31" width="29.00390625" style="0" customWidth="1"/>
    <col min="32" max="32" width="13.75390625" style="0" customWidth="1"/>
    <col min="33" max="33" width="12.25390625" style="0" customWidth="1"/>
    <col min="34" max="34" width="13.25390625" style="0" customWidth="1"/>
    <col min="35" max="35" width="13.75390625" style="0" customWidth="1"/>
    <col min="36" max="36" width="14.00390625" style="0" customWidth="1"/>
    <col min="37" max="37" width="6.75390625" style="0" customWidth="1"/>
    <col min="40" max="40" width="31.375" style="0" customWidth="1"/>
    <col min="41" max="41" width="15.125" style="0" customWidth="1"/>
    <col min="42" max="42" width="12.125" style="0" customWidth="1"/>
    <col min="43" max="43" width="12.875" style="0" customWidth="1"/>
    <col min="44" max="45" width="13.75390625" style="0" customWidth="1"/>
    <col min="51" max="51" width="33.75390625" style="0" customWidth="1"/>
    <col min="52" max="52" width="13.375" style="0" customWidth="1"/>
    <col min="53" max="53" width="13.875" style="0" customWidth="1"/>
    <col min="54" max="54" width="15.37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90</v>
      </c>
      <c r="E2" s="47"/>
      <c r="F2" s="47"/>
      <c r="G2" s="47"/>
      <c r="H2" s="47"/>
      <c r="I2" s="47"/>
      <c r="J2" s="47"/>
      <c r="K2" s="47"/>
      <c r="L2" s="47"/>
      <c r="M2" s="47" t="s">
        <v>174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187</v>
      </c>
      <c r="AC2" s="47"/>
      <c r="AD2" s="47"/>
      <c r="AE2" s="47"/>
      <c r="AF2" s="47"/>
      <c r="AG2" s="47"/>
      <c r="AH2" s="47"/>
      <c r="AI2" s="47"/>
      <c r="AJ2" s="47"/>
      <c r="AK2" s="47" t="s">
        <v>187</v>
      </c>
      <c r="AL2" s="47"/>
      <c r="AM2" s="47"/>
      <c r="AN2" s="47"/>
      <c r="AO2" s="47"/>
      <c r="AP2" s="47"/>
      <c r="AQ2" s="47"/>
      <c r="AR2" s="47"/>
      <c r="AS2" s="47"/>
      <c r="AT2" s="64" t="s">
        <v>267</v>
      </c>
      <c r="AU2" s="47"/>
      <c r="AV2" s="47"/>
      <c r="AW2" s="47"/>
      <c r="AX2" s="47"/>
      <c r="AY2" s="47"/>
      <c r="AZ2" s="47"/>
      <c r="BA2" s="47"/>
      <c r="BB2" s="47"/>
    </row>
    <row r="3" spans="1:54" ht="12.75">
      <c r="A3" s="47"/>
      <c r="B3" s="47"/>
      <c r="C3" s="47"/>
      <c r="D3" s="47" t="s">
        <v>91</v>
      </c>
      <c r="E3" s="47"/>
      <c r="F3" s="47"/>
      <c r="G3" s="47"/>
      <c r="H3" s="47"/>
      <c r="I3" s="47"/>
      <c r="J3" s="47"/>
      <c r="K3" s="47"/>
      <c r="L3" s="47"/>
      <c r="M3" s="47" t="s">
        <v>175</v>
      </c>
      <c r="N3" s="47"/>
      <c r="O3" s="47"/>
      <c r="P3" s="47"/>
      <c r="Q3" s="47"/>
      <c r="R3" s="47"/>
      <c r="S3" s="47" t="s">
        <v>187</v>
      </c>
      <c r="T3" s="47"/>
      <c r="U3" s="47"/>
      <c r="V3" s="47"/>
      <c r="W3" s="47"/>
      <c r="X3" s="47"/>
      <c r="Y3" s="47"/>
      <c r="Z3" s="47"/>
      <c r="AA3" s="47"/>
      <c r="AB3" s="47" t="s">
        <v>186</v>
      </c>
      <c r="AC3" s="47"/>
      <c r="AD3" s="47"/>
      <c r="AE3" s="47"/>
      <c r="AF3" s="47"/>
      <c r="AG3" s="47"/>
      <c r="AH3" s="47"/>
      <c r="AI3" s="47"/>
      <c r="AJ3" s="47"/>
      <c r="AK3" s="47" t="s">
        <v>186</v>
      </c>
      <c r="AL3" s="47"/>
      <c r="AM3" s="47"/>
      <c r="AN3" s="47"/>
      <c r="AO3" s="47"/>
      <c r="AP3" s="47"/>
      <c r="AQ3" s="47"/>
      <c r="AR3" s="47"/>
      <c r="AS3" s="47"/>
      <c r="AT3" s="64" t="s">
        <v>269</v>
      </c>
      <c r="AU3" s="47"/>
      <c r="AV3" s="47"/>
      <c r="AW3" s="47"/>
      <c r="AX3" s="47"/>
      <c r="AY3" s="47"/>
      <c r="AZ3" s="47"/>
      <c r="BA3" s="47"/>
      <c r="BB3" s="47"/>
    </row>
    <row r="4" spans="1:54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186</v>
      </c>
      <c r="T4" s="47"/>
      <c r="U4" s="47"/>
      <c r="V4" s="47"/>
      <c r="W4" s="47"/>
      <c r="X4" s="47"/>
      <c r="Y4" s="47"/>
      <c r="Z4" s="47"/>
      <c r="AA4" s="47"/>
      <c r="AB4" s="47" t="s">
        <v>188</v>
      </c>
      <c r="AC4" s="47"/>
      <c r="AD4" s="47"/>
      <c r="AE4" s="47"/>
      <c r="AF4" s="47"/>
      <c r="AG4" s="47"/>
      <c r="AH4" s="47"/>
      <c r="AI4" s="47"/>
      <c r="AJ4" s="47"/>
      <c r="AK4" s="47" t="s">
        <v>188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212</v>
      </c>
      <c r="AV4" s="47"/>
      <c r="AW4" s="47"/>
      <c r="AX4" s="47"/>
      <c r="AY4" s="144" t="s">
        <v>12</v>
      </c>
      <c r="AZ4" s="144" t="s">
        <v>293</v>
      </c>
      <c r="BA4" s="47"/>
      <c r="BB4" s="47"/>
    </row>
    <row r="5" spans="1:54" ht="12.75">
      <c r="A5" s="47"/>
      <c r="B5" s="47"/>
      <c r="C5" s="47" t="s">
        <v>92</v>
      </c>
      <c r="D5" s="47"/>
      <c r="E5" s="47"/>
      <c r="F5" s="47"/>
      <c r="G5" s="47"/>
      <c r="H5" s="47"/>
      <c r="I5" s="47"/>
      <c r="J5" s="47"/>
      <c r="K5" s="47"/>
      <c r="L5" s="47" t="s">
        <v>92</v>
      </c>
      <c r="M5" s="47"/>
      <c r="N5" s="47"/>
      <c r="O5" s="47"/>
      <c r="P5" s="47"/>
      <c r="Q5" s="47"/>
      <c r="R5" s="47"/>
      <c r="S5" s="47" t="s">
        <v>188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214</v>
      </c>
      <c r="AV5" s="51"/>
      <c r="AW5" s="51"/>
      <c r="AX5" s="51"/>
      <c r="AY5" s="51"/>
      <c r="AZ5" s="50" t="s">
        <v>215</v>
      </c>
      <c r="BA5" s="50" t="s">
        <v>216</v>
      </c>
      <c r="BB5" s="48" t="s">
        <v>201</v>
      </c>
    </row>
    <row r="6" spans="1:54" ht="12.75">
      <c r="A6" s="47"/>
      <c r="B6" s="47"/>
      <c r="C6" s="47"/>
      <c r="D6" s="167" t="s">
        <v>308</v>
      </c>
      <c r="E6" s="167"/>
      <c r="F6" s="47"/>
      <c r="G6" s="47"/>
      <c r="H6" s="47"/>
      <c r="I6" s="47"/>
      <c r="J6" s="47"/>
      <c r="K6" s="47"/>
      <c r="L6" s="47"/>
      <c r="M6" s="167" t="s">
        <v>308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217</v>
      </c>
      <c r="BA6" s="63" t="s">
        <v>76</v>
      </c>
      <c r="BB6" s="74" t="s">
        <v>14</v>
      </c>
    </row>
    <row r="7" spans="1:54" ht="12.75">
      <c r="A7" s="47" t="s">
        <v>265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77</v>
      </c>
      <c r="BA7" s="46"/>
      <c r="BB7" s="49" t="s">
        <v>15</v>
      </c>
    </row>
    <row r="8" spans="1:54" ht="12.75">
      <c r="A8" s="47" t="s">
        <v>93</v>
      </c>
      <c r="B8" s="47"/>
      <c r="C8" s="47"/>
      <c r="D8" s="47"/>
      <c r="E8" s="47"/>
      <c r="F8" s="47"/>
      <c r="G8" s="47"/>
      <c r="H8" s="47"/>
      <c r="I8" s="47"/>
      <c r="J8" s="47" t="s">
        <v>265</v>
      </c>
      <c r="K8" s="47"/>
      <c r="L8" s="47"/>
      <c r="M8" s="47"/>
      <c r="N8" s="47"/>
      <c r="O8" s="47"/>
      <c r="P8" s="47"/>
      <c r="Q8" s="47"/>
      <c r="R8" s="47"/>
      <c r="S8" s="47" t="s">
        <v>199</v>
      </c>
      <c r="T8" s="47"/>
      <c r="U8" s="47"/>
      <c r="V8" s="47"/>
      <c r="W8" s="47"/>
      <c r="X8" s="47"/>
      <c r="Y8" s="47"/>
      <c r="Z8" s="47"/>
      <c r="AA8" s="47"/>
      <c r="AB8" s="47" t="s">
        <v>199</v>
      </c>
      <c r="AC8" s="47"/>
      <c r="AD8" s="47"/>
      <c r="AE8" s="47"/>
      <c r="AF8" s="47"/>
      <c r="AG8" s="47"/>
      <c r="AH8" s="47"/>
      <c r="AI8" s="47"/>
      <c r="AJ8" s="47"/>
      <c r="AK8" s="47" t="s">
        <v>199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11419002.200000025</v>
      </c>
      <c r="BA8" s="168"/>
      <c r="BB8" s="169">
        <f>BB9+BB14</f>
        <v>22405293.0226</v>
      </c>
    </row>
    <row r="9" spans="1:54" ht="12.75">
      <c r="A9" s="47" t="s">
        <v>95</v>
      </c>
      <c r="B9" s="47"/>
      <c r="C9" s="47"/>
      <c r="D9" s="47"/>
      <c r="E9" s="47"/>
      <c r="F9" s="47" t="s">
        <v>94</v>
      </c>
      <c r="G9" s="47"/>
      <c r="H9" s="47"/>
      <c r="I9" s="47"/>
      <c r="J9" s="47" t="s">
        <v>93</v>
      </c>
      <c r="K9" s="47"/>
      <c r="L9" s="47"/>
      <c r="M9" s="47"/>
      <c r="N9" s="47"/>
      <c r="O9" s="47" t="s">
        <v>94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203</v>
      </c>
      <c r="AU9" s="146"/>
      <c r="AV9" s="146"/>
      <c r="AW9" s="146"/>
      <c r="AX9" s="51"/>
      <c r="AY9" s="52"/>
      <c r="AZ9" s="170">
        <f>AZ11+AZ12</f>
        <v>6435305</v>
      </c>
      <c r="BA9" s="171">
        <f>(BB12+BB11)/AZ9</f>
        <v>3.481460944368604</v>
      </c>
      <c r="BB9" s="169">
        <f>BB10+BB11+BB12+BB13</f>
        <v>22404263.0226</v>
      </c>
    </row>
    <row r="10" spans="1:54" ht="12.75">
      <c r="A10" s="48" t="s">
        <v>190</v>
      </c>
      <c r="B10" s="73" t="s">
        <v>96</v>
      </c>
      <c r="C10" s="48" t="s">
        <v>97</v>
      </c>
      <c r="D10" s="116" t="s">
        <v>172</v>
      </c>
      <c r="E10" s="117"/>
      <c r="F10" s="48" t="s">
        <v>98</v>
      </c>
      <c r="G10" s="48" t="s">
        <v>213</v>
      </c>
      <c r="H10" s="48" t="s">
        <v>99</v>
      </c>
      <c r="I10" s="48" t="s">
        <v>89</v>
      </c>
      <c r="J10" s="47" t="s">
        <v>95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309</v>
      </c>
      <c r="Z10" s="47"/>
      <c r="AA10" s="47"/>
      <c r="AB10" s="47"/>
      <c r="AC10" s="47"/>
      <c r="AD10" s="47"/>
      <c r="AE10" s="47"/>
      <c r="AF10" s="47"/>
      <c r="AG10" s="47"/>
      <c r="AH10" s="167" t="s">
        <v>309</v>
      </c>
      <c r="AI10" s="47"/>
      <c r="AJ10" s="47"/>
      <c r="AK10" s="47"/>
      <c r="AL10" s="47"/>
      <c r="AM10" s="47"/>
      <c r="AN10" s="47"/>
      <c r="AO10" s="47"/>
      <c r="AP10" s="47"/>
      <c r="AQ10" s="167" t="s">
        <v>309</v>
      </c>
      <c r="AR10" s="47"/>
      <c r="AS10" s="47"/>
      <c r="AT10" s="50" t="s">
        <v>78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100</v>
      </c>
      <c r="E11" s="50" t="s">
        <v>101</v>
      </c>
      <c r="F11" s="74" t="s">
        <v>102</v>
      </c>
      <c r="G11" s="74" t="s">
        <v>88</v>
      </c>
      <c r="H11" s="74"/>
      <c r="I11" s="74" t="s">
        <v>103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79</v>
      </c>
      <c r="AU11" s="51"/>
      <c r="AV11" s="51"/>
      <c r="AW11" s="51"/>
      <c r="AX11" s="51"/>
      <c r="AY11" s="52"/>
      <c r="AZ11" s="60">
        <f>I81+I73</f>
        <v>4204.999999999978</v>
      </c>
      <c r="BA11" s="175">
        <v>5.21112</v>
      </c>
      <c r="BB11" s="174">
        <f>AZ11*BA11</f>
        <v>21912.75959999989</v>
      </c>
    </row>
    <row r="12" spans="1:54" ht="12.75">
      <c r="A12" s="49"/>
      <c r="B12" s="49"/>
      <c r="C12" s="49"/>
      <c r="D12" s="49" t="s">
        <v>104</v>
      </c>
      <c r="E12" s="46" t="s">
        <v>104</v>
      </c>
      <c r="F12" s="49" t="s">
        <v>105</v>
      </c>
      <c r="G12" s="49"/>
      <c r="H12" s="49"/>
      <c r="I12" s="49"/>
      <c r="J12" s="48" t="s">
        <v>190</v>
      </c>
      <c r="K12" s="73" t="s">
        <v>96</v>
      </c>
      <c r="L12" s="48" t="s">
        <v>97</v>
      </c>
      <c r="M12" s="116" t="s">
        <v>229</v>
      </c>
      <c r="N12" s="117"/>
      <c r="O12" s="48" t="s">
        <v>98</v>
      </c>
      <c r="P12" s="48" t="s">
        <v>213</v>
      </c>
      <c r="Q12" s="48" t="s">
        <v>99</v>
      </c>
      <c r="R12" s="48" t="s">
        <v>89</v>
      </c>
      <c r="S12" s="48" t="s">
        <v>190</v>
      </c>
      <c r="T12" s="50" t="s">
        <v>191</v>
      </c>
      <c r="U12" s="51"/>
      <c r="V12" s="52"/>
      <c r="W12" s="45" t="s">
        <v>192</v>
      </c>
      <c r="X12" s="55"/>
      <c r="Y12" s="55"/>
      <c r="Z12" s="55"/>
      <c r="AA12" s="56"/>
      <c r="AB12" s="48" t="s">
        <v>190</v>
      </c>
      <c r="AC12" s="50" t="s">
        <v>191</v>
      </c>
      <c r="AD12" s="51"/>
      <c r="AE12" s="52"/>
      <c r="AF12" s="45" t="s">
        <v>192</v>
      </c>
      <c r="AG12" s="55"/>
      <c r="AH12" s="55"/>
      <c r="AI12" s="55"/>
      <c r="AJ12" s="56"/>
      <c r="AK12" s="48" t="s">
        <v>190</v>
      </c>
      <c r="AL12" s="50" t="s">
        <v>191</v>
      </c>
      <c r="AM12" s="51"/>
      <c r="AN12" s="52"/>
      <c r="AO12" s="45" t="s">
        <v>192</v>
      </c>
      <c r="AP12" s="55"/>
      <c r="AQ12" s="55"/>
      <c r="AR12" s="55"/>
      <c r="AS12" s="56"/>
      <c r="AT12" s="50" t="s">
        <v>80</v>
      </c>
      <c r="AU12" s="51"/>
      <c r="AV12" s="51"/>
      <c r="AW12" s="51"/>
      <c r="AX12" s="51"/>
      <c r="AY12" s="52"/>
      <c r="AZ12" s="170">
        <f>I75</f>
        <v>6431100</v>
      </c>
      <c r="BA12" s="176">
        <v>3.48033</v>
      </c>
      <c r="BB12" s="174">
        <f>AZ12*BA12</f>
        <v>22382350.263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100</v>
      </c>
      <c r="N13" s="50" t="s">
        <v>101</v>
      </c>
      <c r="O13" s="74" t="s">
        <v>102</v>
      </c>
      <c r="P13" s="74" t="s">
        <v>88</v>
      </c>
      <c r="Q13" s="74"/>
      <c r="R13" s="74" t="s">
        <v>103</v>
      </c>
      <c r="S13" s="49"/>
      <c r="T13" s="46"/>
      <c r="U13" s="53"/>
      <c r="V13" s="54"/>
      <c r="W13" s="57" t="s">
        <v>193</v>
      </c>
      <c r="X13" s="57" t="s">
        <v>194</v>
      </c>
      <c r="Y13" s="57" t="s">
        <v>195</v>
      </c>
      <c r="Z13" s="57" t="s">
        <v>196</v>
      </c>
      <c r="AA13" s="57" t="s">
        <v>197</v>
      </c>
      <c r="AB13" s="49"/>
      <c r="AC13" s="46"/>
      <c r="AD13" s="53"/>
      <c r="AE13" s="54"/>
      <c r="AF13" s="57" t="s">
        <v>193</v>
      </c>
      <c r="AG13" s="57" t="s">
        <v>194</v>
      </c>
      <c r="AH13" s="57" t="s">
        <v>195</v>
      </c>
      <c r="AI13" s="57" t="s">
        <v>196</v>
      </c>
      <c r="AJ13" s="57" t="s">
        <v>197</v>
      </c>
      <c r="AK13" s="49"/>
      <c r="AL13" s="46"/>
      <c r="AM13" s="53"/>
      <c r="AN13" s="54"/>
      <c r="AO13" s="57" t="s">
        <v>193</v>
      </c>
      <c r="AP13" s="57" t="s">
        <v>194</v>
      </c>
      <c r="AQ13" s="57" t="s">
        <v>195</v>
      </c>
      <c r="AR13" s="57" t="s">
        <v>196</v>
      </c>
      <c r="AS13" s="57" t="s">
        <v>197</v>
      </c>
      <c r="AT13" s="45" t="s">
        <v>73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9" t="s">
        <v>106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104</v>
      </c>
      <c r="N14" s="46" t="s">
        <v>104</v>
      </c>
      <c r="O14" s="49" t="s">
        <v>105</v>
      </c>
      <c r="P14" s="49"/>
      <c r="Q14" s="49"/>
      <c r="R14" s="49"/>
      <c r="S14" s="57">
        <v>1</v>
      </c>
      <c r="T14" s="44" t="s">
        <v>64</v>
      </c>
      <c r="U14" s="44"/>
      <c r="V14" s="44"/>
      <c r="W14" s="60">
        <f aca="true" t="shared" si="0" ref="W14:W25">SUM(X14:AA14)</f>
        <v>4748217</v>
      </c>
      <c r="X14" s="60">
        <f>SUM(X15:X26)</f>
        <v>4143264</v>
      </c>
      <c r="Y14" s="60">
        <f>SUM(Y15:Y27)</f>
        <v>0</v>
      </c>
      <c r="Z14" s="60">
        <f>SUM(Z15:Z26)</f>
        <v>604953</v>
      </c>
      <c r="AA14" s="57">
        <f>SUM(AA15:AA27)</f>
        <v>0</v>
      </c>
      <c r="AB14" s="57"/>
      <c r="AC14" s="44" t="s">
        <v>43</v>
      </c>
      <c r="AD14" s="44"/>
      <c r="AE14" s="44"/>
      <c r="AF14" s="67">
        <f>SUM(AG14:AJ14)</f>
        <v>165618</v>
      </c>
      <c r="AG14" s="60">
        <f>SUM(AG16:AG22)</f>
        <v>157613</v>
      </c>
      <c r="AH14" s="60">
        <f>SUM(AH16:AH22)</f>
        <v>0</v>
      </c>
      <c r="AI14" s="60">
        <f>SUM(AI16:AI22)</f>
        <v>8005</v>
      </c>
      <c r="AJ14" s="57">
        <f>SUM(AJ16:AJ22)</f>
        <v>0</v>
      </c>
      <c r="AK14" s="73">
        <v>1</v>
      </c>
      <c r="AL14" s="48" t="s">
        <v>43</v>
      </c>
      <c r="AM14" s="48"/>
      <c r="AN14" s="48"/>
      <c r="AO14" s="75">
        <f>SUM(AP14:AS14)</f>
        <v>70027</v>
      </c>
      <c r="AP14" s="75">
        <f>SUM(AP16:AP17)</f>
        <v>0</v>
      </c>
      <c r="AQ14" s="75">
        <f>SUM(AQ16:AQ17)</f>
        <v>0</v>
      </c>
      <c r="AR14" s="75">
        <f>ROUND(SUM(AR16:AR20),0)</f>
        <v>70027</v>
      </c>
      <c r="AS14" s="73">
        <f>SUM(AS16:AS17)</f>
        <v>0</v>
      </c>
      <c r="AT14" s="49" t="s">
        <v>219</v>
      </c>
      <c r="AU14" s="49"/>
      <c r="AV14" s="49"/>
      <c r="AW14" s="49"/>
      <c r="AX14" s="49"/>
      <c r="AY14" s="49"/>
      <c r="AZ14" s="170">
        <f>SUM(AZ15:AZ21)</f>
        <v>360</v>
      </c>
      <c r="BA14" s="177"/>
      <c r="BB14" s="174">
        <f>SUM(BB15:BB21)</f>
        <v>1030</v>
      </c>
    </row>
    <row r="15" spans="1:54" ht="12.75">
      <c r="A15" s="46"/>
      <c r="B15" s="45" t="s">
        <v>258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50</v>
      </c>
      <c r="T15" s="50" t="s">
        <v>28</v>
      </c>
      <c r="U15" s="51"/>
      <c r="V15" s="51"/>
      <c r="W15" s="67">
        <f t="shared" si="0"/>
        <v>2586847</v>
      </c>
      <c r="X15" s="88">
        <f>ROUND(I20,0)</f>
        <v>2586847</v>
      </c>
      <c r="Y15" s="73">
        <v>0</v>
      </c>
      <c r="Z15" s="73">
        <v>0</v>
      </c>
      <c r="AA15" s="73">
        <v>0</v>
      </c>
      <c r="AB15" s="73">
        <v>1</v>
      </c>
      <c r="AC15" s="50" t="s">
        <v>278</v>
      </c>
      <c r="AD15" s="51"/>
      <c r="AE15" s="52"/>
      <c r="AF15" s="66"/>
      <c r="AG15" s="69"/>
      <c r="AH15" s="69"/>
      <c r="AI15" s="69"/>
      <c r="AJ15" s="192"/>
      <c r="AK15" s="208"/>
      <c r="AL15" s="50" t="s">
        <v>280</v>
      </c>
      <c r="AM15" s="51"/>
      <c r="AN15" s="52"/>
      <c r="AO15" s="75"/>
      <c r="AP15" s="73"/>
      <c r="AQ15" s="73"/>
      <c r="AR15" s="75"/>
      <c r="AS15" s="73"/>
      <c r="AT15" s="52" t="s">
        <v>74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>
      <c r="A16" s="73">
        <v>1</v>
      </c>
      <c r="B16" s="48" t="s">
        <v>146</v>
      </c>
      <c r="C16" s="90">
        <v>804152757</v>
      </c>
      <c r="D16" s="121">
        <v>5290.3634</v>
      </c>
      <c r="E16" s="121">
        <v>5389.8917</v>
      </c>
      <c r="F16" s="60">
        <v>36000</v>
      </c>
      <c r="G16" s="142">
        <f>E16-D16</f>
        <v>99.52829999999994</v>
      </c>
      <c r="H16" s="44"/>
      <c r="I16" s="60">
        <f>ROUND((F16*G16+H16),0)</f>
        <v>3583019</v>
      </c>
      <c r="J16" s="46"/>
      <c r="K16" s="53"/>
      <c r="L16" s="53" t="s">
        <v>106</v>
      </c>
      <c r="M16" s="53"/>
      <c r="N16" s="53"/>
      <c r="O16" s="53"/>
      <c r="P16" s="53"/>
      <c r="Q16" s="53"/>
      <c r="R16" s="54"/>
      <c r="S16" s="61" t="s">
        <v>51</v>
      </c>
      <c r="T16" s="63" t="s">
        <v>29</v>
      </c>
      <c r="U16" s="64"/>
      <c r="V16" s="64"/>
      <c r="W16" s="67">
        <f t="shared" si="0"/>
        <v>153607</v>
      </c>
      <c r="X16" s="81">
        <f>ROUND(I27,0)</f>
        <v>153607</v>
      </c>
      <c r="Y16" s="70">
        <v>0</v>
      </c>
      <c r="Z16" s="67">
        <v>0</v>
      </c>
      <c r="AA16" s="70">
        <v>0</v>
      </c>
      <c r="AB16" s="61" t="s">
        <v>50</v>
      </c>
      <c r="AC16" s="63" t="s">
        <v>198</v>
      </c>
      <c r="AD16" s="64"/>
      <c r="AE16" s="65"/>
      <c r="AF16" s="67">
        <f>AG16+AH16+AI16+AJ16</f>
        <v>157613</v>
      </c>
      <c r="AG16" s="67">
        <v>157613</v>
      </c>
      <c r="AH16" s="70">
        <v>0</v>
      </c>
      <c r="AI16" s="67">
        <v>0</v>
      </c>
      <c r="AJ16" s="87">
        <v>0</v>
      </c>
      <c r="AK16" s="61" t="s">
        <v>50</v>
      </c>
      <c r="AL16" s="63" t="s">
        <v>16</v>
      </c>
      <c r="AM16" s="64"/>
      <c r="AN16" s="65"/>
      <c r="AO16" s="67">
        <f>AP16+AQ16+AR16+AS16</f>
        <v>131</v>
      </c>
      <c r="AP16" s="70">
        <v>0</v>
      </c>
      <c r="AQ16" s="70">
        <v>0</v>
      </c>
      <c r="AR16" s="67">
        <v>131</v>
      </c>
      <c r="AS16" s="70">
        <v>0</v>
      </c>
      <c r="AT16" s="52" t="s">
        <v>74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>
      <c r="A17" s="49"/>
      <c r="B17" s="46" t="s">
        <v>147</v>
      </c>
      <c r="C17" s="106">
        <v>109054169</v>
      </c>
      <c r="D17" s="121">
        <v>8096.3993</v>
      </c>
      <c r="E17" s="121">
        <v>8240.0125</v>
      </c>
      <c r="F17" s="60">
        <v>36000</v>
      </c>
      <c r="G17" s="142">
        <f>E17-D17</f>
        <v>143.6132000000007</v>
      </c>
      <c r="H17" s="44"/>
      <c r="I17" s="60">
        <f>F17*G17+H17</f>
        <v>5170075.200000024</v>
      </c>
      <c r="J17" s="44"/>
      <c r="K17" s="45" t="s">
        <v>107</v>
      </c>
      <c r="L17" s="55"/>
      <c r="M17" s="55"/>
      <c r="N17" s="55"/>
      <c r="O17" s="55"/>
      <c r="P17" s="55"/>
      <c r="Q17" s="55"/>
      <c r="R17" s="56"/>
      <c r="S17" s="61" t="s">
        <v>52</v>
      </c>
      <c r="T17" s="63" t="s">
        <v>30</v>
      </c>
      <c r="U17" s="64"/>
      <c r="V17" s="64"/>
      <c r="W17" s="67">
        <f t="shared" si="0"/>
        <v>216011</v>
      </c>
      <c r="X17" s="81">
        <f>ROUND(I29,0)</f>
        <v>216011</v>
      </c>
      <c r="Y17" s="70">
        <v>0</v>
      </c>
      <c r="Z17" s="67">
        <v>0</v>
      </c>
      <c r="AA17" s="70">
        <v>0</v>
      </c>
      <c r="AB17" s="61" t="s">
        <v>51</v>
      </c>
      <c r="AC17" s="63" t="s">
        <v>72</v>
      </c>
      <c r="AD17" s="64"/>
      <c r="AE17" s="65"/>
      <c r="AF17" s="67">
        <f>AG17+AH17+AI17+AJ17</f>
        <v>3444</v>
      </c>
      <c r="AG17" s="70">
        <v>0</v>
      </c>
      <c r="AH17" s="70">
        <v>0</v>
      </c>
      <c r="AI17" s="67">
        <v>3444</v>
      </c>
      <c r="AJ17" s="87">
        <v>0</v>
      </c>
      <c r="AK17" s="61" t="s">
        <v>51</v>
      </c>
      <c r="AL17" s="63" t="s">
        <v>166</v>
      </c>
      <c r="AM17" s="64"/>
      <c r="AN17" s="65"/>
      <c r="AO17" s="67">
        <f>AP17+AQ17+AR17+AS17</f>
        <v>995</v>
      </c>
      <c r="AP17" s="70">
        <v>0</v>
      </c>
      <c r="AQ17" s="70">
        <v>0</v>
      </c>
      <c r="AR17" s="67">
        <v>995</v>
      </c>
      <c r="AS17" s="70">
        <v>0</v>
      </c>
      <c r="AT17" s="51" t="s">
        <v>46</v>
      </c>
      <c r="AU17" s="51"/>
      <c r="AV17" s="51"/>
      <c r="AW17" s="51"/>
      <c r="AX17" s="51"/>
      <c r="AY17" s="52"/>
      <c r="AZ17" s="170">
        <f>R21</f>
        <v>80</v>
      </c>
      <c r="BA17" s="180">
        <v>3.41</v>
      </c>
      <c r="BB17" s="174">
        <f>AZ17*BA17</f>
        <v>272.8</v>
      </c>
    </row>
    <row r="18" spans="1:54" ht="12.75">
      <c r="A18" s="45"/>
      <c r="B18" s="55"/>
      <c r="C18" s="53"/>
      <c r="D18" s="55"/>
      <c r="E18" s="55"/>
      <c r="F18" s="107" t="s">
        <v>109</v>
      </c>
      <c r="G18" s="55"/>
      <c r="H18" s="56"/>
      <c r="I18" s="60">
        <f>ROUND((I16+I17+I22),0)</f>
        <v>8827950</v>
      </c>
      <c r="J18" s="57">
        <v>1</v>
      </c>
      <c r="K18" s="45" t="s">
        <v>108</v>
      </c>
      <c r="L18" s="55"/>
      <c r="M18" s="55"/>
      <c r="N18" s="55"/>
      <c r="O18" s="55"/>
      <c r="P18" s="55"/>
      <c r="Q18" s="55"/>
      <c r="R18" s="56"/>
      <c r="S18" s="61" t="s">
        <v>53</v>
      </c>
      <c r="T18" s="63" t="s">
        <v>31</v>
      </c>
      <c r="U18" s="64"/>
      <c r="V18" s="64"/>
      <c r="W18" s="67">
        <f t="shared" si="0"/>
        <v>233217</v>
      </c>
      <c r="X18" s="81">
        <f>ROUND(I31,0)</f>
        <v>233217</v>
      </c>
      <c r="Y18" s="70">
        <v>0</v>
      </c>
      <c r="Z18" s="67">
        <v>0</v>
      </c>
      <c r="AA18" s="70">
        <v>0</v>
      </c>
      <c r="AB18" s="62" t="s">
        <v>52</v>
      </c>
      <c r="AC18" s="53" t="s">
        <v>61</v>
      </c>
      <c r="AD18" s="53"/>
      <c r="AE18" s="53"/>
      <c r="AF18" s="68">
        <f>AG18+AH18+AI18+AJ18</f>
        <v>4561</v>
      </c>
      <c r="AG18" s="71">
        <v>0</v>
      </c>
      <c r="AH18" s="71">
        <v>0</v>
      </c>
      <c r="AI18" s="68">
        <v>4561</v>
      </c>
      <c r="AJ18" s="207">
        <v>0</v>
      </c>
      <c r="AK18" s="61" t="s">
        <v>52</v>
      </c>
      <c r="AL18" s="63" t="s">
        <v>42</v>
      </c>
      <c r="AM18" s="64"/>
      <c r="AN18" s="65"/>
      <c r="AO18" s="67">
        <f>AP18+AQ18+AR18+AS18</f>
        <v>58673</v>
      </c>
      <c r="AP18" s="70">
        <v>0</v>
      </c>
      <c r="AQ18" s="70">
        <v>0</v>
      </c>
      <c r="AR18" s="67">
        <v>58673</v>
      </c>
      <c r="AS18" s="70">
        <v>0</v>
      </c>
      <c r="AT18" s="51" t="s">
        <v>47</v>
      </c>
      <c r="AU18" s="51"/>
      <c r="AV18" s="51"/>
      <c r="AW18" s="51"/>
      <c r="AX18" s="51"/>
      <c r="AY18" s="52"/>
      <c r="AZ18" s="170">
        <f>R22</f>
        <v>60</v>
      </c>
      <c r="BA18" s="180">
        <v>1.62</v>
      </c>
      <c r="BB18" s="174">
        <f>AZ18*BA18</f>
        <v>97.2</v>
      </c>
    </row>
    <row r="19" spans="1:54" ht="12.75">
      <c r="A19" s="44" t="s">
        <v>110</v>
      </c>
      <c r="B19" s="45" t="s">
        <v>230</v>
      </c>
      <c r="C19" s="55"/>
      <c r="D19" s="55"/>
      <c r="E19" s="55"/>
      <c r="F19" s="55"/>
      <c r="G19" s="55"/>
      <c r="H19" s="55"/>
      <c r="I19" s="56"/>
      <c r="J19" s="73" t="s">
        <v>110</v>
      </c>
      <c r="K19" s="48" t="s">
        <v>176</v>
      </c>
      <c r="L19" s="73">
        <v>16654</v>
      </c>
      <c r="M19" s="124">
        <v>6625</v>
      </c>
      <c r="N19" s="124">
        <v>6845</v>
      </c>
      <c r="O19" s="73">
        <v>1</v>
      </c>
      <c r="P19" s="148">
        <f>N19-M19</f>
        <v>220</v>
      </c>
      <c r="Q19" s="149"/>
      <c r="R19" s="75">
        <f>O19*P19+Q19</f>
        <v>220</v>
      </c>
      <c r="S19" s="61" t="s">
        <v>58</v>
      </c>
      <c r="T19" s="63" t="s">
        <v>32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53</v>
      </c>
      <c r="AL19" s="63" t="s">
        <v>63</v>
      </c>
      <c r="AM19" s="64"/>
      <c r="AN19" s="65"/>
      <c r="AO19" s="67">
        <f>AP19+AQ19+AR19+AS19</f>
        <v>424</v>
      </c>
      <c r="AP19" s="67">
        <v>0</v>
      </c>
      <c r="AQ19" s="70">
        <v>0</v>
      </c>
      <c r="AR19" s="67">
        <v>424</v>
      </c>
      <c r="AS19" s="70">
        <v>0</v>
      </c>
      <c r="AT19" s="51" t="s">
        <v>81</v>
      </c>
      <c r="AU19" s="51"/>
      <c r="AV19" s="51"/>
      <c r="AW19" s="51"/>
      <c r="AX19" s="51"/>
      <c r="AY19" s="52"/>
      <c r="AZ19" s="181">
        <f>R19+R20</f>
        <v>220</v>
      </c>
      <c r="BA19" s="175">
        <v>3</v>
      </c>
      <c r="BB19" s="174">
        <f>AZ19*BA19</f>
        <v>660</v>
      </c>
    </row>
    <row r="20" spans="1:54" ht="12.75">
      <c r="A20" s="44" t="s">
        <v>112</v>
      </c>
      <c r="B20" s="44" t="s">
        <v>113</v>
      </c>
      <c r="C20" s="106">
        <v>109053225</v>
      </c>
      <c r="D20" s="121">
        <v>19934.4004</v>
      </c>
      <c r="E20" s="121">
        <v>20057.5836</v>
      </c>
      <c r="F20" s="60">
        <v>21000</v>
      </c>
      <c r="G20" s="142">
        <f>E20-D20</f>
        <v>123.18320000000313</v>
      </c>
      <c r="H20" s="44"/>
      <c r="I20" s="60">
        <f>ROUND((F20*G20+H20),0)</f>
        <v>2586847</v>
      </c>
      <c r="J20" s="49"/>
      <c r="K20" s="49" t="s">
        <v>177</v>
      </c>
      <c r="L20" s="49"/>
      <c r="M20" s="49"/>
      <c r="N20" s="49"/>
      <c r="O20" s="49"/>
      <c r="P20" s="80"/>
      <c r="Q20" s="150"/>
      <c r="R20" s="166"/>
      <c r="S20" s="61" t="s">
        <v>62</v>
      </c>
      <c r="T20" s="63" t="s">
        <v>33</v>
      </c>
      <c r="U20" s="64"/>
      <c r="V20" s="64"/>
      <c r="W20" s="67">
        <f t="shared" si="0"/>
        <v>444155</v>
      </c>
      <c r="X20" s="81">
        <f>ROUND(I35,0)</f>
        <v>444155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58</v>
      </c>
      <c r="AL20" s="46" t="s">
        <v>279</v>
      </c>
      <c r="AM20" s="53"/>
      <c r="AN20" s="54"/>
      <c r="AO20" s="68">
        <f>AP20+AQ20+AR20+AS20</f>
        <v>9804</v>
      </c>
      <c r="AP20" s="68"/>
      <c r="AQ20" s="71"/>
      <c r="AR20" s="68">
        <v>9804</v>
      </c>
      <c r="AS20" s="71"/>
      <c r="AT20" s="51" t="s">
        <v>218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>
      <c r="A21" s="44" t="s">
        <v>259</v>
      </c>
      <c r="B21" s="55" t="s">
        <v>262</v>
      </c>
      <c r="C21" s="53"/>
      <c r="D21" s="55"/>
      <c r="E21" s="55"/>
      <c r="F21" s="107"/>
      <c r="G21" s="55"/>
      <c r="H21" s="56"/>
      <c r="I21" s="60"/>
      <c r="J21" s="48" t="s">
        <v>116</v>
      </c>
      <c r="K21" s="48" t="s">
        <v>179</v>
      </c>
      <c r="L21" s="225">
        <v>122848480</v>
      </c>
      <c r="M21" s="224">
        <v>576</v>
      </c>
      <c r="N21" s="224">
        <v>580</v>
      </c>
      <c r="O21" s="57">
        <v>20</v>
      </c>
      <c r="P21" s="223">
        <f>N21-M21</f>
        <v>4</v>
      </c>
      <c r="Q21" s="151"/>
      <c r="R21" s="60">
        <f>O21*P21+Q21</f>
        <v>80</v>
      </c>
      <c r="S21" s="61" t="s">
        <v>65</v>
      </c>
      <c r="T21" s="63" t="s">
        <v>34</v>
      </c>
      <c r="U21" s="64"/>
      <c r="V21" s="64"/>
      <c r="W21" s="67">
        <f t="shared" si="0"/>
        <v>138123</v>
      </c>
      <c r="X21" s="81">
        <f>ROUND(I37,0)</f>
        <v>138123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>
      <c r="A22" s="44" t="s">
        <v>260</v>
      </c>
      <c r="B22" s="45" t="s">
        <v>263</v>
      </c>
      <c r="C22" s="55"/>
      <c r="D22" s="55"/>
      <c r="E22" s="55"/>
      <c r="F22" s="55"/>
      <c r="G22" s="55"/>
      <c r="H22" s="56"/>
      <c r="I22" s="229">
        <v>74856</v>
      </c>
      <c r="J22" s="49"/>
      <c r="K22" s="49" t="s">
        <v>178</v>
      </c>
      <c r="L22" s="225">
        <v>122848480</v>
      </c>
      <c r="M22" s="224">
        <v>153</v>
      </c>
      <c r="N22" s="224">
        <v>156</v>
      </c>
      <c r="O22" s="57">
        <v>20</v>
      </c>
      <c r="P22" s="223">
        <f>N22-M22</f>
        <v>3</v>
      </c>
      <c r="Q22" s="151"/>
      <c r="R22" s="60">
        <f>O22*P22+Q22</f>
        <v>60</v>
      </c>
      <c r="S22" s="61" t="s">
        <v>66</v>
      </c>
      <c r="T22" s="63" t="s">
        <v>35</v>
      </c>
      <c r="U22" s="64"/>
      <c r="V22" s="64"/>
      <c r="W22" s="67">
        <f t="shared" si="0"/>
        <v>371304</v>
      </c>
      <c r="X22" s="81">
        <f>ROUND(I39,0)</f>
        <v>371304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164</v>
      </c>
      <c r="Q23" s="137"/>
      <c r="R23" s="60">
        <f>R19+R21+R22+R20</f>
        <v>360</v>
      </c>
      <c r="S23" s="61" t="s">
        <v>67</v>
      </c>
      <c r="T23" s="63" t="s">
        <v>36</v>
      </c>
      <c r="U23" s="64"/>
      <c r="V23" s="64"/>
      <c r="W23" s="67">
        <f t="shared" si="0"/>
        <v>478027</v>
      </c>
      <c r="X23" s="81">
        <v>0</v>
      </c>
      <c r="Y23" s="70">
        <v>0</v>
      </c>
      <c r="Z23" s="67">
        <f>I26+I25</f>
        <v>478027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>
      <c r="A24" s="44" t="s">
        <v>116</v>
      </c>
      <c r="B24" s="46" t="s">
        <v>117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68</v>
      </c>
      <c r="T24" s="64" t="s">
        <v>37</v>
      </c>
      <c r="U24" s="64"/>
      <c r="V24" s="64"/>
      <c r="W24" s="67">
        <f t="shared" si="0"/>
        <v>32872</v>
      </c>
      <c r="X24" s="81">
        <v>0</v>
      </c>
      <c r="Y24" s="70">
        <v>0</v>
      </c>
      <c r="Z24" s="67">
        <f>I41</f>
        <v>32872</v>
      </c>
      <c r="AA24" s="70">
        <v>0</v>
      </c>
      <c r="AB24" s="58"/>
      <c r="AC24" s="47" t="s">
        <v>87</v>
      </c>
      <c r="AD24" s="47"/>
      <c r="AE24" s="47"/>
      <c r="AF24" s="59"/>
      <c r="AG24" s="59"/>
      <c r="AH24" s="59"/>
      <c r="AI24" s="59"/>
      <c r="AJ24" s="59"/>
      <c r="AK24" s="58"/>
      <c r="AL24" s="47" t="s">
        <v>167</v>
      </c>
      <c r="AM24" s="47"/>
      <c r="AN24" s="47"/>
      <c r="AO24" s="59"/>
      <c r="AP24" s="59"/>
      <c r="AQ24" s="59"/>
      <c r="AR24" s="59"/>
      <c r="AS24" s="59"/>
      <c r="AT24" s="152" t="s">
        <v>45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>
      <c r="A25" s="48" t="s">
        <v>118</v>
      </c>
      <c r="B25" s="48" t="s">
        <v>121</v>
      </c>
      <c r="C25" s="90"/>
      <c r="D25" s="212"/>
      <c r="E25" s="212"/>
      <c r="F25" s="68"/>
      <c r="G25" s="213"/>
      <c r="H25" s="68"/>
      <c r="I25" s="68"/>
      <c r="J25" s="63" t="s">
        <v>165</v>
      </c>
      <c r="K25" s="64"/>
      <c r="L25" s="64"/>
      <c r="M25" s="64"/>
      <c r="N25" s="64"/>
      <c r="O25" s="64"/>
      <c r="P25" s="85"/>
      <c r="Q25" s="128"/>
      <c r="R25" s="141"/>
      <c r="S25" s="61" t="s">
        <v>69</v>
      </c>
      <c r="T25" s="64" t="s">
        <v>38</v>
      </c>
      <c r="U25" s="64"/>
      <c r="V25" s="64"/>
      <c r="W25" s="67">
        <f t="shared" si="0"/>
        <v>77294</v>
      </c>
      <c r="X25" s="81">
        <v>0</v>
      </c>
      <c r="Y25" s="70">
        <v>0</v>
      </c>
      <c r="Z25" s="67">
        <f>I43</f>
        <v>77294</v>
      </c>
      <c r="AA25" s="70">
        <v>0</v>
      </c>
      <c r="AB25" s="58"/>
      <c r="AC25" s="47" t="s">
        <v>270</v>
      </c>
      <c r="AD25" s="47"/>
      <c r="AE25" s="47"/>
      <c r="AF25" s="47"/>
      <c r="AG25" s="47"/>
      <c r="AH25" s="47"/>
      <c r="AI25" s="47"/>
      <c r="AJ25" s="47"/>
      <c r="AK25" s="58"/>
      <c r="AL25" s="47" t="s">
        <v>270</v>
      </c>
      <c r="AM25" s="47"/>
      <c r="AN25" s="47"/>
      <c r="AO25" s="47"/>
      <c r="AP25" s="47"/>
      <c r="AQ25" s="47"/>
      <c r="AR25" s="47"/>
      <c r="AS25" s="47"/>
      <c r="AT25" s="46" t="s">
        <v>82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>
      <c r="A26" s="49"/>
      <c r="B26" s="49" t="s">
        <v>119</v>
      </c>
      <c r="C26" s="91">
        <v>109056121</v>
      </c>
      <c r="D26" s="212">
        <v>22272.0528</v>
      </c>
      <c r="E26" s="212">
        <v>22371.6419</v>
      </c>
      <c r="F26" s="68">
        <v>4800</v>
      </c>
      <c r="G26" s="213">
        <f aca="true" t="shared" si="1" ref="G26:G43">E26-D26</f>
        <v>99.58909999999742</v>
      </c>
      <c r="H26" s="68"/>
      <c r="I26" s="236">
        <f>ROUND(F26*G26+H26,0)-1</f>
        <v>478027</v>
      </c>
      <c r="J26" s="114" t="s">
        <v>290</v>
      </c>
      <c r="K26" s="115"/>
      <c r="L26" s="115"/>
      <c r="M26" s="86"/>
      <c r="N26" s="53"/>
      <c r="O26" s="53"/>
      <c r="P26" s="53"/>
      <c r="Q26" s="53"/>
      <c r="R26" s="102"/>
      <c r="S26" s="62" t="s">
        <v>70</v>
      </c>
      <c r="T26" s="53" t="s">
        <v>39</v>
      </c>
      <c r="U26" s="53"/>
      <c r="V26" s="53"/>
      <c r="W26" s="68">
        <f>SUM(X26:AA26)</f>
        <v>16760</v>
      </c>
      <c r="X26" s="82">
        <v>0</v>
      </c>
      <c r="Y26" s="71">
        <v>0</v>
      </c>
      <c r="Z26" s="68">
        <f>I45+I46</f>
        <v>16760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83</v>
      </c>
      <c r="AU26" s="55"/>
      <c r="AV26" s="55"/>
      <c r="AW26" s="55"/>
      <c r="AX26" s="64"/>
      <c r="AY26" s="65"/>
      <c r="AZ26" s="185">
        <f>(X14+AG14+AP14)/1000</f>
        <v>4300.877</v>
      </c>
      <c r="BA26" s="169">
        <v>16</v>
      </c>
      <c r="BB26" s="174">
        <f>AZ26*BA26</f>
        <v>68814.032</v>
      </c>
    </row>
    <row r="27" spans="1:54" ht="12.75">
      <c r="A27" s="48" t="s">
        <v>120</v>
      </c>
      <c r="B27" s="48" t="s">
        <v>132</v>
      </c>
      <c r="C27" s="90">
        <v>623125232</v>
      </c>
      <c r="D27" s="214">
        <v>9439.1331</v>
      </c>
      <c r="E27" s="214">
        <v>9524.4701</v>
      </c>
      <c r="F27" s="75">
        <v>1800</v>
      </c>
      <c r="G27" s="215">
        <f t="shared" si="1"/>
        <v>85.33700000000135</v>
      </c>
      <c r="H27" s="73"/>
      <c r="I27" s="75">
        <f>ROUND(G27*F27,0)</f>
        <v>153607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84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>
      <c r="A28" s="49"/>
      <c r="B28" s="49" t="s">
        <v>119</v>
      </c>
      <c r="C28" s="71"/>
      <c r="D28" s="119"/>
      <c r="E28" s="119"/>
      <c r="F28" s="68"/>
      <c r="G28" s="118"/>
      <c r="H28" s="71"/>
      <c r="I28" s="68"/>
      <c r="J28" s="64" t="s">
        <v>168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224</v>
      </c>
      <c r="AC28" s="47"/>
      <c r="AD28" s="47"/>
      <c r="AE28" s="47"/>
      <c r="AF28" s="47"/>
      <c r="AG28" s="47" t="s">
        <v>225</v>
      </c>
      <c r="AH28" s="47"/>
      <c r="AI28" s="47" t="s">
        <v>226</v>
      </c>
      <c r="AJ28" s="47"/>
      <c r="AK28" s="47" t="s">
        <v>224</v>
      </c>
      <c r="AL28" s="47"/>
      <c r="AM28" s="47"/>
      <c r="AN28" s="47"/>
      <c r="AO28" s="47"/>
      <c r="AP28" s="47" t="s">
        <v>56</v>
      </c>
      <c r="AQ28" s="47"/>
      <c r="AR28" s="47" t="s">
        <v>57</v>
      </c>
      <c r="AS28" s="47"/>
      <c r="AT28" s="63" t="s">
        <v>85</v>
      </c>
      <c r="AU28" s="64"/>
      <c r="AV28" s="64"/>
      <c r="AW28" s="64"/>
      <c r="AX28" s="51"/>
      <c r="AY28" s="52"/>
      <c r="AZ28" s="185">
        <f>(Z14+AI14+AR14)/1000</f>
        <v>682.985</v>
      </c>
      <c r="BA28" s="169">
        <v>16</v>
      </c>
      <c r="BB28" s="174">
        <f>AZ28*BA28</f>
        <v>10927.76</v>
      </c>
    </row>
    <row r="29" spans="1:54" ht="12.75">
      <c r="A29" s="48" t="s">
        <v>122</v>
      </c>
      <c r="B29" s="48" t="s">
        <v>133</v>
      </c>
      <c r="C29" s="90">
        <v>623125667</v>
      </c>
      <c r="D29" s="214">
        <v>11935.0164</v>
      </c>
      <c r="E29" s="214">
        <v>12055.0226</v>
      </c>
      <c r="F29" s="75">
        <v>1800</v>
      </c>
      <c r="G29" s="215">
        <f t="shared" si="1"/>
        <v>120.00619999999981</v>
      </c>
      <c r="H29" s="73"/>
      <c r="I29" s="75">
        <f>ROUND(G29*F29,0)</f>
        <v>216011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291</v>
      </c>
      <c r="AC29" s="47"/>
      <c r="AD29" s="47"/>
      <c r="AE29" s="47"/>
      <c r="AF29" s="47"/>
      <c r="AG29" s="47" t="s">
        <v>55</v>
      </c>
      <c r="AH29" s="47"/>
      <c r="AI29" s="47"/>
      <c r="AJ29" s="47"/>
      <c r="AK29" s="47" t="s">
        <v>291</v>
      </c>
      <c r="AL29" s="47"/>
      <c r="AM29" s="47"/>
      <c r="AN29" s="47"/>
      <c r="AO29" s="47"/>
      <c r="AP29" s="47" t="s">
        <v>55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>
      <c r="A30" s="49"/>
      <c r="B30" s="49" t="s">
        <v>119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>
      <c r="A31" s="48" t="s">
        <v>123</v>
      </c>
      <c r="B31" s="48" t="s">
        <v>134</v>
      </c>
      <c r="C31" s="90">
        <v>623126370</v>
      </c>
      <c r="D31" s="214">
        <v>3168.513</v>
      </c>
      <c r="E31" s="214">
        <v>3217.0999</v>
      </c>
      <c r="F31" s="75">
        <v>4800</v>
      </c>
      <c r="G31" s="215">
        <f t="shared" si="1"/>
        <v>48.58690000000024</v>
      </c>
      <c r="H31" s="73"/>
      <c r="I31" s="75">
        <f>ROUND(G31*F31,0)</f>
        <v>233217</v>
      </c>
      <c r="J31" s="64"/>
      <c r="K31" s="64"/>
      <c r="L31" s="154"/>
      <c r="M31" s="78"/>
      <c r="N31" s="155" t="s">
        <v>169</v>
      </c>
      <c r="O31" s="155"/>
      <c r="P31" s="83"/>
      <c r="Q31" s="64"/>
      <c r="R31" s="85"/>
      <c r="S31" s="47" t="s">
        <v>224</v>
      </c>
      <c r="T31" s="47"/>
      <c r="U31" s="47"/>
      <c r="V31" s="47"/>
      <c r="W31" s="47"/>
      <c r="X31" s="47" t="s">
        <v>225</v>
      </c>
      <c r="Y31" s="47"/>
      <c r="Z31" s="47" t="s">
        <v>226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>
      <c r="A32" s="49"/>
      <c r="B32" s="49" t="s">
        <v>119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266</v>
      </c>
      <c r="O32" s="155"/>
      <c r="P32" s="83"/>
      <c r="Q32" s="64"/>
      <c r="R32" s="85"/>
      <c r="S32" s="47" t="s">
        <v>291</v>
      </c>
      <c r="T32" s="47"/>
      <c r="U32" s="47"/>
      <c r="V32" s="47"/>
      <c r="W32" s="47"/>
      <c r="X32" s="47" t="s">
        <v>55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222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>
      <c r="A33" s="48" t="s">
        <v>124</v>
      </c>
      <c r="B33" s="48" t="s">
        <v>135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291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54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220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>
      <c r="A34" s="49"/>
      <c r="B34" s="49" t="s">
        <v>119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54</v>
      </c>
      <c r="AL34" s="47"/>
      <c r="AM34" s="47"/>
      <c r="AN34" s="47"/>
      <c r="AO34" s="47"/>
      <c r="AP34" s="47"/>
      <c r="AQ34" s="47"/>
      <c r="AR34" s="47"/>
      <c r="AS34" s="47"/>
      <c r="AT34" s="50" t="s">
        <v>223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>
      <c r="A35" s="48" t="s">
        <v>125</v>
      </c>
      <c r="B35" s="48" t="s">
        <v>136</v>
      </c>
      <c r="C35" s="90">
        <v>623125142</v>
      </c>
      <c r="D35" s="214">
        <v>15718.5297</v>
      </c>
      <c r="E35" s="214">
        <v>15903.5942</v>
      </c>
      <c r="F35" s="75">
        <v>2400</v>
      </c>
      <c r="G35" s="215">
        <f t="shared" si="1"/>
        <v>185.0645000000004</v>
      </c>
      <c r="H35" s="73"/>
      <c r="I35" s="75">
        <f>ROUND(G35*F35,0)</f>
        <v>444155</v>
      </c>
      <c r="J35" s="64"/>
      <c r="K35" s="64"/>
      <c r="L35" s="154"/>
      <c r="M35" s="78"/>
      <c r="N35" s="156" t="s">
        <v>171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71</v>
      </c>
      <c r="AC35" s="47"/>
      <c r="AD35" s="47"/>
      <c r="AE35" s="47"/>
      <c r="AF35" s="47"/>
      <c r="AG35" s="47" t="s">
        <v>41</v>
      </c>
      <c r="AH35" s="47"/>
      <c r="AI35" s="47" t="s">
        <v>40</v>
      </c>
      <c r="AJ35" s="47"/>
      <c r="AK35" s="47" t="s">
        <v>227</v>
      </c>
      <c r="AL35" s="47"/>
      <c r="AM35" s="47"/>
      <c r="AN35" s="47"/>
      <c r="AO35" s="47"/>
      <c r="AP35" s="47"/>
      <c r="AQ35" s="47" t="s">
        <v>228</v>
      </c>
      <c r="AR35" s="47"/>
      <c r="AS35" s="47"/>
      <c r="AT35" s="50" t="s">
        <v>220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>
      <c r="A36" s="49"/>
      <c r="B36" s="49" t="s">
        <v>119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170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86</v>
      </c>
      <c r="AC36" s="47"/>
      <c r="AD36" s="47"/>
      <c r="AE36" s="47"/>
      <c r="AF36" s="47"/>
      <c r="AG36" s="47" t="s">
        <v>55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55</v>
      </c>
      <c r="AR36" s="47"/>
      <c r="AS36" s="47"/>
      <c r="AT36" s="50" t="s">
        <v>220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>
      <c r="A37" s="48" t="s">
        <v>126</v>
      </c>
      <c r="B37" s="48" t="s">
        <v>137</v>
      </c>
      <c r="C37" s="90">
        <v>623125205</v>
      </c>
      <c r="D37" s="214">
        <v>5751.9769</v>
      </c>
      <c r="E37" s="214">
        <v>5828.7114</v>
      </c>
      <c r="F37" s="75">
        <v>1800</v>
      </c>
      <c r="G37" s="215">
        <f t="shared" si="1"/>
        <v>76.73450000000048</v>
      </c>
      <c r="H37" s="73"/>
      <c r="I37" s="234">
        <f>ROUND(G37*F37,0)+1</f>
        <v>138123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286</v>
      </c>
      <c r="T37" s="47"/>
      <c r="U37" s="47"/>
      <c r="V37" s="47"/>
      <c r="W37" s="47"/>
      <c r="X37" s="47" t="s">
        <v>225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185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>
      <c r="A38" s="49"/>
      <c r="B38" s="49" t="s">
        <v>119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55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220</v>
      </c>
      <c r="AU38" s="51"/>
      <c r="AV38" s="51" t="s">
        <v>25</v>
      </c>
      <c r="AW38" s="51"/>
      <c r="AX38" s="51"/>
      <c r="AY38" s="52"/>
      <c r="AZ38" s="170"/>
      <c r="BA38" s="182"/>
      <c r="BB38" s="169"/>
    </row>
    <row r="39" spans="1:54" ht="12.75">
      <c r="A39" s="48" t="s">
        <v>127</v>
      </c>
      <c r="B39" s="48" t="s">
        <v>138</v>
      </c>
      <c r="C39" s="90">
        <v>623123704</v>
      </c>
      <c r="D39" s="214">
        <v>10323.2935</v>
      </c>
      <c r="E39" s="214">
        <v>10529.5737</v>
      </c>
      <c r="F39" s="75">
        <v>1800</v>
      </c>
      <c r="G39" s="215">
        <f t="shared" si="1"/>
        <v>206.28020000000106</v>
      </c>
      <c r="H39" s="73"/>
      <c r="I39" s="75">
        <f>ROUND(G39*F39,0)</f>
        <v>371304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221</v>
      </c>
      <c r="AU39" s="51"/>
      <c r="AV39" s="51" t="s">
        <v>218</v>
      </c>
      <c r="AW39" s="51"/>
      <c r="AX39" s="51"/>
      <c r="AY39" s="52"/>
      <c r="AZ39" s="170"/>
      <c r="BA39" s="182"/>
      <c r="BB39" s="169"/>
    </row>
    <row r="40" spans="1:54" ht="12.75">
      <c r="A40" s="49"/>
      <c r="B40" s="49" t="s">
        <v>119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>
      <c r="A41" s="48" t="s">
        <v>128</v>
      </c>
      <c r="B41" s="48" t="s">
        <v>139</v>
      </c>
      <c r="C41" s="90">
        <v>623125794</v>
      </c>
      <c r="D41" s="214">
        <v>251.5401</v>
      </c>
      <c r="E41" s="214">
        <v>269.8025</v>
      </c>
      <c r="F41" s="75">
        <v>1800</v>
      </c>
      <c r="G41" s="215">
        <f t="shared" si="1"/>
        <v>18.262400000000014</v>
      </c>
      <c r="H41" s="73"/>
      <c r="I41" s="75">
        <f>ROUND(G41*F41,0)</f>
        <v>32872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>
      <c r="A42" s="49"/>
      <c r="B42" s="49" t="s">
        <v>119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>
      <c r="A43" s="48" t="s">
        <v>129</v>
      </c>
      <c r="B43" s="48" t="s">
        <v>140</v>
      </c>
      <c r="C43" s="90">
        <v>623125736</v>
      </c>
      <c r="D43" s="214">
        <v>5259.6123</v>
      </c>
      <c r="E43" s="214">
        <v>5324.0198</v>
      </c>
      <c r="F43" s="75">
        <v>1200</v>
      </c>
      <c r="G43" s="215">
        <f t="shared" si="1"/>
        <v>64.40750000000025</v>
      </c>
      <c r="H43" s="73"/>
      <c r="I43" s="234">
        <f>ROUND(G43*F43,0)+5</f>
        <v>77294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185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>
      <c r="A44" s="49"/>
      <c r="B44" s="49" t="s">
        <v>119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>
      <c r="A45" s="48" t="s">
        <v>130</v>
      </c>
      <c r="B45" s="50" t="s">
        <v>131</v>
      </c>
      <c r="C45" s="90">
        <v>1110171156</v>
      </c>
      <c r="D45" s="214">
        <v>17637.3404</v>
      </c>
      <c r="E45" s="214">
        <v>18056.3224</v>
      </c>
      <c r="F45" s="75">
        <v>40</v>
      </c>
      <c r="G45" s="215">
        <f>E45-D45</f>
        <v>418.98199999999997</v>
      </c>
      <c r="H45" s="73"/>
      <c r="I45" s="234">
        <f>ROUND(G45*F45,0)+1</f>
        <v>16760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>
      <c r="A46" s="49"/>
      <c r="B46" s="46" t="s">
        <v>119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189</v>
      </c>
      <c r="AW46" s="51"/>
      <c r="AX46" s="51"/>
      <c r="AY46" s="52"/>
      <c r="AZ46" s="170"/>
      <c r="BA46" s="187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141</v>
      </c>
      <c r="H47" s="56"/>
      <c r="I47" s="125">
        <f>ROUND((SUM(I25:I46)+I20),0)</f>
        <v>4748217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>
      <c r="A48" s="48" t="s">
        <v>144</v>
      </c>
      <c r="B48" s="50" t="s">
        <v>142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>
      <c r="A49" s="74"/>
      <c r="B49" s="63" t="s">
        <v>143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189</v>
      </c>
      <c r="AW49" s="51"/>
      <c r="AX49" s="51"/>
      <c r="AY49" s="52"/>
      <c r="AZ49" s="170"/>
      <c r="BA49" s="182"/>
      <c r="BB49" s="169"/>
    </row>
    <row r="50" spans="1:54" ht="12.75">
      <c r="A50" s="50" t="s">
        <v>145</v>
      </c>
      <c r="B50" s="48" t="s">
        <v>235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271</v>
      </c>
      <c r="AW50" s="55"/>
      <c r="AX50" s="55"/>
      <c r="AY50" s="56"/>
      <c r="AZ50" s="170"/>
      <c r="BA50" s="182"/>
      <c r="BB50" s="169"/>
    </row>
    <row r="51" spans="1:54" ht="12.75">
      <c r="A51" s="63"/>
      <c r="B51" s="74"/>
      <c r="C51" s="194">
        <v>611127627</v>
      </c>
      <c r="D51" s="191">
        <v>6490.4328</v>
      </c>
      <c r="E51" s="191">
        <v>6576.4764</v>
      </c>
      <c r="F51" s="60">
        <v>40</v>
      </c>
      <c r="G51" s="142">
        <f>E51-D51</f>
        <v>86.04359999999997</v>
      </c>
      <c r="H51" s="60"/>
      <c r="I51" s="60">
        <f>ROUND(F51*G51+H51,0)</f>
        <v>3442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231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148</v>
      </c>
      <c r="B53" s="65"/>
      <c r="C53" s="106">
        <v>810120245</v>
      </c>
      <c r="D53" s="191">
        <v>3804.4647</v>
      </c>
      <c r="E53" s="191">
        <v>3808.4329</v>
      </c>
      <c r="F53" s="60">
        <v>3600</v>
      </c>
      <c r="G53" s="142">
        <f>E53-D53</f>
        <v>3.968199999999797</v>
      </c>
      <c r="H53" s="60"/>
      <c r="I53" s="233">
        <f>ROUND(F53*G53+H53,0)-1</f>
        <v>14285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310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245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4566.004</v>
      </c>
      <c r="E55" s="121">
        <v>4605.8075</v>
      </c>
      <c r="F55" s="60">
        <v>3600</v>
      </c>
      <c r="G55" s="143">
        <f>E55-D55</f>
        <v>39.803499999999985</v>
      </c>
      <c r="H55" s="44"/>
      <c r="I55" s="233">
        <f>ROUND(F55*G55+H55,0)-1</f>
        <v>143292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149</v>
      </c>
      <c r="B57" s="48" t="s">
        <v>115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6"/>
      <c r="B58" s="74" t="s">
        <v>114</v>
      </c>
      <c r="C58" s="194">
        <v>611127492</v>
      </c>
      <c r="D58" s="191">
        <v>22739.5948</v>
      </c>
      <c r="E58" s="191">
        <v>22967.6644</v>
      </c>
      <c r="F58" s="60">
        <v>20</v>
      </c>
      <c r="G58" s="142">
        <f>E58-D58</f>
        <v>228.06960000000254</v>
      </c>
      <c r="H58" s="60"/>
      <c r="I58" s="233">
        <f>ROUND(F58*G58+H58,0)+1</f>
        <v>4562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49</v>
      </c>
      <c r="AW58" s="47"/>
      <c r="AX58" s="47"/>
      <c r="AY58" s="47"/>
      <c r="AZ58" s="47"/>
      <c r="BA58" s="47"/>
      <c r="BB58" s="162">
        <f>BA9</f>
        <v>3.481460944368604</v>
      </c>
    </row>
    <row r="59" spans="1:54" ht="12.75">
      <c r="A59" s="50" t="s">
        <v>150</v>
      </c>
      <c r="B59" s="48" t="s">
        <v>236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7"/>
      <c r="B60" s="70" t="s">
        <v>281</v>
      </c>
      <c r="C60" s="194">
        <v>611127702</v>
      </c>
      <c r="D60" s="191">
        <v>33334.854</v>
      </c>
      <c r="E60" s="191">
        <v>33736.516</v>
      </c>
      <c r="F60" s="60">
        <v>60</v>
      </c>
      <c r="G60" s="142">
        <f>E60-D60</f>
        <v>401.6620000000039</v>
      </c>
      <c r="H60" s="44"/>
      <c r="I60" s="60">
        <f>ROUND(F60*G60+H60,0)</f>
        <v>24100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282</v>
      </c>
      <c r="C61" s="194">
        <v>611127555</v>
      </c>
      <c r="D61" s="191">
        <v>14374.1276</v>
      </c>
      <c r="E61" s="191">
        <v>14948.5748</v>
      </c>
      <c r="F61" s="60">
        <v>60</v>
      </c>
      <c r="G61" s="142">
        <f>E61-D61</f>
        <v>574.4472000000005</v>
      </c>
      <c r="H61" s="44"/>
      <c r="I61" s="60">
        <f>ROUND(F61*G61+H61,0)</f>
        <v>34467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151</v>
      </c>
      <c r="B62" s="48" t="s">
        <v>237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7"/>
      <c r="B63" s="74"/>
      <c r="C63" s="194">
        <v>1110171163</v>
      </c>
      <c r="D63" s="191">
        <v>1397.0568</v>
      </c>
      <c r="E63" s="191">
        <v>1413.5748</v>
      </c>
      <c r="F63" s="60">
        <v>60</v>
      </c>
      <c r="G63" s="142">
        <f>E63-D63</f>
        <v>16.51800000000003</v>
      </c>
      <c r="H63" s="44"/>
      <c r="I63" s="60">
        <f>ROUND(F63*G63+H63,0)</f>
        <v>991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152</v>
      </c>
      <c r="B65" s="48" t="s">
        <v>238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4">
        <v>1110171170</v>
      </c>
      <c r="D66" s="191">
        <v>215.498</v>
      </c>
      <c r="E66" s="191">
        <v>218.7696</v>
      </c>
      <c r="F66" s="60">
        <v>40</v>
      </c>
      <c r="G66" s="142">
        <f>E66-D66</f>
        <v>3.2716000000000065</v>
      </c>
      <c r="H66" s="60"/>
      <c r="I66" s="60">
        <f>ROUND(F66*G66+H66,0)</f>
        <v>131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153</v>
      </c>
      <c r="B68" s="48" t="s">
        <v>283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284</v>
      </c>
      <c r="C69" s="194">
        <v>611126404</v>
      </c>
      <c r="D69" s="191">
        <v>631.5238</v>
      </c>
      <c r="E69" s="191">
        <v>637.1961</v>
      </c>
      <c r="F69" s="60">
        <v>1800</v>
      </c>
      <c r="G69" s="142">
        <f>E69-D69</f>
        <v>5.67229999999995</v>
      </c>
      <c r="H69" s="60"/>
      <c r="I69" s="60">
        <f>ROUND((F69*G69+H69),0)</f>
        <v>10210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247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233</v>
      </c>
      <c r="B71" s="74" t="s">
        <v>239</v>
      </c>
      <c r="C71" s="194">
        <v>611127724</v>
      </c>
      <c r="D71" s="191">
        <v>2081.6136</v>
      </c>
      <c r="E71" s="191">
        <v>2095.756</v>
      </c>
      <c r="F71" s="60">
        <v>30</v>
      </c>
      <c r="G71" s="142">
        <f>E71-D71</f>
        <v>14.142399999999725</v>
      </c>
      <c r="H71" s="60"/>
      <c r="I71" s="60">
        <f>ROUND(F71*G71+H71,0)</f>
        <v>424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277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154</v>
      </c>
      <c r="G74" s="55"/>
      <c r="H74" s="56"/>
      <c r="I74" s="125">
        <f>ROUND((SUM(I50:I69)-I73),0)</f>
        <v>235480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155</v>
      </c>
      <c r="H75" s="56"/>
      <c r="I75" s="125">
        <f>ROUND((I18+I20-I47-I74),0)</f>
        <v>6431100</v>
      </c>
      <c r="J75" s="64"/>
      <c r="K75" s="64">
        <f>I18+I20+I22-I47-I74</f>
        <v>6505956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162</v>
      </c>
      <c r="B76" s="45" t="s">
        <v>156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160</v>
      </c>
      <c r="B77" s="48" t="s">
        <v>157</v>
      </c>
      <c r="C77" s="73">
        <v>18705639</v>
      </c>
      <c r="D77" s="124">
        <v>19908</v>
      </c>
      <c r="E77" s="124">
        <v>20006.3</v>
      </c>
      <c r="F77" s="75">
        <v>30</v>
      </c>
      <c r="G77" s="211">
        <f>E77-D77</f>
        <v>98.29999999999927</v>
      </c>
      <c r="H77" s="235">
        <v>1256</v>
      </c>
      <c r="I77" s="75">
        <f>F77*G77+H77</f>
        <v>4204.999999999978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158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161</v>
      </c>
      <c r="B79" s="48" t="s">
        <v>159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158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163</v>
      </c>
      <c r="G81" s="111"/>
      <c r="H81" s="56"/>
      <c r="I81" s="60">
        <f>I77+I79</f>
        <v>4204.999999999978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164</v>
      </c>
      <c r="H82" s="56"/>
      <c r="I82" s="125">
        <f>I75+I81</f>
        <v>6435305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165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290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168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2" t="s">
        <v>169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2" t="s">
        <v>268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2" t="s">
        <v>291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90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267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91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272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12</v>
      </c>
      <c r="AZ91" s="89" t="s">
        <v>295</v>
      </c>
      <c r="BA91" s="47"/>
      <c r="BB91" s="47"/>
    </row>
    <row r="92" spans="1:54" ht="12.75">
      <c r="A92" s="47"/>
      <c r="B92" s="47"/>
      <c r="C92" s="47" t="s">
        <v>92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26</v>
      </c>
      <c r="AU92" s="55"/>
      <c r="AV92" s="55"/>
      <c r="AW92" s="55"/>
      <c r="AX92" s="55"/>
      <c r="AY92" s="56"/>
      <c r="AZ92" s="44" t="s">
        <v>75</v>
      </c>
      <c r="BA92" s="44"/>
      <c r="BB92" s="44" t="s">
        <v>27</v>
      </c>
    </row>
    <row r="93" spans="1:54" ht="12.75">
      <c r="A93" s="47"/>
      <c r="B93" s="47"/>
      <c r="C93" s="47"/>
      <c r="D93" s="167" t="s">
        <v>308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182</v>
      </c>
      <c r="AU93" s="55"/>
      <c r="AV93" s="55"/>
      <c r="AW93" s="55"/>
      <c r="AX93" s="55"/>
      <c r="AY93" s="56"/>
      <c r="AZ93" s="125">
        <v>76328</v>
      </c>
      <c r="BA93" s="92"/>
      <c r="BB93" s="188">
        <f>AZ93*BB58</f>
        <v>265732.9509617668</v>
      </c>
    </row>
    <row r="94" spans="1:54" ht="12.75">
      <c r="A94" s="47" t="s">
        <v>265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181</v>
      </c>
      <c r="AU94" s="55"/>
      <c r="AV94" s="55"/>
      <c r="AW94" s="55"/>
      <c r="AX94" s="55"/>
      <c r="AY94" s="56"/>
      <c r="AZ94" s="125">
        <f>AZ131-SUM(AZ112:AZ120)-AZ109-AZ103-AZ96-AZ95-AZ93</f>
        <v>5071175</v>
      </c>
      <c r="BA94" s="92"/>
      <c r="BB94" s="188">
        <f>AZ94*BB58</f>
        <v>17655097.704558454</v>
      </c>
    </row>
    <row r="95" spans="1:54" ht="12.75">
      <c r="A95" s="47" t="s">
        <v>93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274</v>
      </c>
      <c r="AU95" s="55"/>
      <c r="AV95" s="55"/>
      <c r="AW95" s="55"/>
      <c r="AX95" s="55"/>
      <c r="AY95" s="56"/>
      <c r="AZ95" s="125">
        <v>80945</v>
      </c>
      <c r="BA95" s="92"/>
      <c r="BB95" s="188">
        <f>AZ95*BB58</f>
        <v>281806.85614191665</v>
      </c>
    </row>
    <row r="96" spans="1:54" ht="12.75">
      <c r="A96" s="47" t="s">
        <v>95</v>
      </c>
      <c r="B96" s="47"/>
      <c r="C96" s="47"/>
      <c r="D96" s="47"/>
      <c r="E96" s="47"/>
      <c r="F96" s="47" t="s">
        <v>94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17</v>
      </c>
      <c r="AU96" s="51"/>
      <c r="AV96" s="51"/>
      <c r="AW96" s="51"/>
      <c r="AX96" s="51"/>
      <c r="AY96" s="52"/>
      <c r="AZ96" s="189">
        <f>SUM(AZ97:AZ102)</f>
        <v>961660</v>
      </c>
      <c r="BA96" s="95"/>
      <c r="BB96" s="188">
        <f>AZ96*BB58</f>
        <v>3347981.731761512</v>
      </c>
    </row>
    <row r="97" spans="1:54" ht="12.75">
      <c r="A97" s="48" t="s">
        <v>190</v>
      </c>
      <c r="B97" s="73" t="s">
        <v>96</v>
      </c>
      <c r="C97" s="48" t="s">
        <v>97</v>
      </c>
      <c r="D97" s="116" t="s">
        <v>172</v>
      </c>
      <c r="E97" s="117"/>
      <c r="F97" s="48" t="s">
        <v>98</v>
      </c>
      <c r="G97" s="48" t="s">
        <v>213</v>
      </c>
      <c r="H97" s="48" t="s">
        <v>99</v>
      </c>
      <c r="I97" s="48" t="s">
        <v>89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18</v>
      </c>
      <c r="AU97" s="64"/>
      <c r="AV97" s="64"/>
      <c r="AW97" s="64"/>
      <c r="AX97" s="64"/>
      <c r="AY97" s="65"/>
      <c r="AZ97" s="67">
        <v>336714</v>
      </c>
      <c r="BA97" s="78"/>
      <c r="BB97" s="188">
        <f>AZ97*BB58</f>
        <v>1172256.6404221302</v>
      </c>
    </row>
    <row r="98" spans="1:54" ht="12.75">
      <c r="A98" s="74"/>
      <c r="B98" s="74"/>
      <c r="C98" s="74"/>
      <c r="D98" s="48" t="s">
        <v>100</v>
      </c>
      <c r="E98" s="50" t="s">
        <v>101</v>
      </c>
      <c r="F98" s="74" t="s">
        <v>102</v>
      </c>
      <c r="G98" s="74" t="s">
        <v>88</v>
      </c>
      <c r="H98" s="74"/>
      <c r="I98" s="74" t="s">
        <v>103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19</v>
      </c>
      <c r="AU98" s="64"/>
      <c r="AV98" s="64"/>
      <c r="AW98" s="64"/>
      <c r="AX98" s="64"/>
      <c r="AY98" s="65"/>
      <c r="AZ98" s="67">
        <v>504190</v>
      </c>
      <c r="BA98" s="78"/>
      <c r="BB98" s="188">
        <f>AZ98*BB58</f>
        <v>1755317.7935412065</v>
      </c>
    </row>
    <row r="99" spans="1:54" ht="12.75">
      <c r="A99" s="49"/>
      <c r="B99" s="49"/>
      <c r="C99" s="49"/>
      <c r="D99" s="49" t="s">
        <v>104</v>
      </c>
      <c r="E99" s="46" t="s">
        <v>104</v>
      </c>
      <c r="F99" s="49" t="s">
        <v>105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20</v>
      </c>
      <c r="AU99" s="64"/>
      <c r="AV99" s="64"/>
      <c r="AW99" s="64"/>
      <c r="AX99" s="64"/>
      <c r="AY99" s="65"/>
      <c r="AZ99" s="67">
        <v>118096</v>
      </c>
      <c r="BA99" s="78"/>
      <c r="BB99" s="188">
        <f>AZ99*BB58</f>
        <v>411146.6116861547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21</v>
      </c>
      <c r="AU100" s="64"/>
      <c r="AV100" s="64"/>
      <c r="AW100" s="64"/>
      <c r="AX100" s="64"/>
      <c r="AY100" s="65"/>
      <c r="AZ100" s="67">
        <v>300</v>
      </c>
      <c r="BA100" s="78"/>
      <c r="BB100" s="188">
        <f>AZ100*BB58</f>
        <v>1044.4382833105813</v>
      </c>
    </row>
    <row r="101" spans="1:54" ht="12.75">
      <c r="A101" s="46"/>
      <c r="B101" s="53"/>
      <c r="C101" s="209" t="s">
        <v>173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22</v>
      </c>
      <c r="AU101" s="64"/>
      <c r="AV101" s="64"/>
      <c r="AW101" s="64"/>
      <c r="AX101" s="64"/>
      <c r="AY101" s="65"/>
      <c r="AZ101" s="67">
        <v>1360</v>
      </c>
      <c r="BA101" s="78"/>
      <c r="BB101" s="188">
        <f>AZ101*BB58</f>
        <v>4734.786884341302</v>
      </c>
    </row>
    <row r="102" spans="1:54" ht="12.75">
      <c r="A102" s="44"/>
      <c r="B102" s="45" t="s">
        <v>264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3481.460944368604</v>
      </c>
    </row>
    <row r="103" spans="1:54" ht="12.75">
      <c r="A103" s="73">
        <v>1</v>
      </c>
      <c r="B103" s="48" t="s">
        <v>146</v>
      </c>
      <c r="C103" s="90">
        <v>804152757</v>
      </c>
      <c r="D103" s="121">
        <v>2662.6277</v>
      </c>
      <c r="E103" s="121">
        <v>2710.0277</v>
      </c>
      <c r="F103" s="60">
        <v>36000</v>
      </c>
      <c r="G103" s="142">
        <f>E103-D103</f>
        <v>47.40000000000009</v>
      </c>
      <c r="H103" s="44"/>
      <c r="I103" s="60">
        <f>F103*G103+H103</f>
        <v>1706400.0000000033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183</v>
      </c>
      <c r="AU103" s="51"/>
      <c r="AV103" s="51"/>
      <c r="AW103" s="51"/>
      <c r="AX103" s="51"/>
      <c r="AY103" s="52"/>
      <c r="AZ103" s="189">
        <f>SUM(AZ104:AZ108)</f>
        <v>12360</v>
      </c>
      <c r="BA103" s="95"/>
      <c r="BB103" s="188">
        <f>AZ103*BB58</f>
        <v>43030.857272395944</v>
      </c>
    </row>
    <row r="104" spans="1:54" ht="12.75">
      <c r="A104" s="49"/>
      <c r="B104" s="46" t="s">
        <v>147</v>
      </c>
      <c r="C104" s="106">
        <v>109054169</v>
      </c>
      <c r="D104" s="121">
        <v>3255.0743</v>
      </c>
      <c r="E104" s="121">
        <v>3317.2725</v>
      </c>
      <c r="F104" s="60">
        <v>36000</v>
      </c>
      <c r="G104" s="142">
        <f>E104-D104</f>
        <v>62.198199999999815</v>
      </c>
      <c r="H104" s="44"/>
      <c r="I104" s="60">
        <f>F104*G104+H104</f>
        <v>2239135.199999993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208</v>
      </c>
      <c r="AV104" s="64"/>
      <c r="AW104" s="64"/>
      <c r="AX104" s="64"/>
      <c r="AY104" s="65"/>
      <c r="AZ104" s="67">
        <v>2160</v>
      </c>
      <c r="BA104" s="78"/>
      <c r="BB104" s="188">
        <f>AZ104*BB58</f>
        <v>7519.955639836185</v>
      </c>
    </row>
    <row r="105" spans="1:54" ht="12.75">
      <c r="A105" s="45"/>
      <c r="B105" s="55"/>
      <c r="C105" s="53"/>
      <c r="D105" s="55"/>
      <c r="E105" s="55"/>
      <c r="F105" s="107" t="s">
        <v>109</v>
      </c>
      <c r="G105" s="55"/>
      <c r="H105" s="56"/>
      <c r="I105" s="60">
        <f>I103+I104</f>
        <v>3945535.1999999965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204</v>
      </c>
      <c r="AU105" s="64"/>
      <c r="AV105" s="64" t="s">
        <v>184</v>
      </c>
      <c r="AW105" s="64"/>
      <c r="AX105" s="64"/>
      <c r="AY105" s="65"/>
      <c r="AZ105" s="67">
        <v>4640</v>
      </c>
      <c r="BA105" s="78"/>
      <c r="BB105" s="188">
        <f>AZ105*BB58</f>
        <v>16153.978781870323</v>
      </c>
    </row>
    <row r="106" spans="1:54" ht="12.75">
      <c r="A106" s="44" t="s">
        <v>110</v>
      </c>
      <c r="B106" s="45" t="s">
        <v>111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204</v>
      </c>
      <c r="AU106" s="64"/>
      <c r="AV106" s="64" t="s">
        <v>209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>
      <c r="A107" s="44" t="s">
        <v>112</v>
      </c>
      <c r="B107" s="44" t="s">
        <v>113</v>
      </c>
      <c r="C107" s="106">
        <v>109053225</v>
      </c>
      <c r="D107" s="121">
        <v>7937.8459</v>
      </c>
      <c r="E107" s="121">
        <v>7994.7851</v>
      </c>
      <c r="F107" s="60">
        <v>21000</v>
      </c>
      <c r="G107" s="142">
        <f>E107-D107</f>
        <v>56.9391999999998</v>
      </c>
      <c r="H107" s="44"/>
      <c r="I107" s="60">
        <f>F107*G107+H107</f>
        <v>1195723.1999999958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210</v>
      </c>
      <c r="AW107" s="64"/>
      <c r="AX107" s="64"/>
      <c r="AY107" s="64"/>
      <c r="AZ107" s="67">
        <v>280</v>
      </c>
      <c r="BA107" s="70"/>
      <c r="BB107" s="188">
        <f>AZ107*BB58</f>
        <v>974.8090644232091</v>
      </c>
    </row>
    <row r="108" spans="1:54" ht="12.75">
      <c r="A108" s="44" t="s">
        <v>259</v>
      </c>
      <c r="B108" s="55" t="s">
        <v>262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60</v>
      </c>
      <c r="AU108" s="53"/>
      <c r="AV108" s="101"/>
      <c r="AW108" s="101"/>
      <c r="AX108" s="53"/>
      <c r="AY108" s="54"/>
      <c r="AZ108" s="68">
        <v>5280</v>
      </c>
      <c r="BA108" s="86"/>
      <c r="BB108" s="188">
        <f>AZ108*BB58</f>
        <v>18382.11378626623</v>
      </c>
    </row>
    <row r="109" spans="1:54" ht="12.75">
      <c r="A109" s="44" t="s">
        <v>260</v>
      </c>
      <c r="B109" s="45" t="s">
        <v>263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273</v>
      </c>
      <c r="AU109" s="51"/>
      <c r="AV109" s="51"/>
      <c r="AW109" s="51"/>
      <c r="AX109" s="51"/>
      <c r="AY109" s="52"/>
      <c r="AZ109" s="189">
        <f>AZ110+AZ111</f>
        <v>83651</v>
      </c>
      <c r="BA109" s="95"/>
      <c r="BB109" s="188">
        <f>AZ109*BB58</f>
        <v>291227.6894573781</v>
      </c>
    </row>
    <row r="110" spans="1:54" ht="12.75">
      <c r="A110" s="45" t="s">
        <v>261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23</v>
      </c>
      <c r="AU110" s="64"/>
      <c r="AV110" s="64"/>
      <c r="AW110" s="64"/>
      <c r="AX110" s="64"/>
      <c r="AY110" s="65"/>
      <c r="AZ110" s="67">
        <v>7508</v>
      </c>
      <c r="BA110" s="78"/>
      <c r="BB110" s="188">
        <f>AZ110*BB58</f>
        <v>26138.80877031948</v>
      </c>
    </row>
    <row r="111" spans="1:54" ht="12.75">
      <c r="A111" s="44" t="s">
        <v>116</v>
      </c>
      <c r="B111" s="45" t="s">
        <v>117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24</v>
      </c>
      <c r="AU111" s="53"/>
      <c r="AV111" s="53"/>
      <c r="AW111" s="53"/>
      <c r="AX111" s="53"/>
      <c r="AY111" s="54"/>
      <c r="AZ111" s="68">
        <v>76143</v>
      </c>
      <c r="BA111" s="86"/>
      <c r="BB111" s="188">
        <f>AZ111*BB58</f>
        <v>265088.8806870586</v>
      </c>
    </row>
    <row r="112" spans="1:54" ht="12.75">
      <c r="A112" s="48" t="s">
        <v>118</v>
      </c>
      <c r="B112" s="48" t="s">
        <v>121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211</v>
      </c>
      <c r="AU112" s="55"/>
      <c r="AV112" s="55"/>
      <c r="AW112" s="55"/>
      <c r="AX112" s="55"/>
      <c r="AY112" s="56"/>
      <c r="AZ112" s="125">
        <v>18500</v>
      </c>
      <c r="BA112" s="92"/>
      <c r="BB112" s="188">
        <f>AZ112*BB58</f>
        <v>64407.02747081917</v>
      </c>
    </row>
    <row r="113" spans="1:54" ht="12.75">
      <c r="A113" s="49"/>
      <c r="B113" s="49" t="s">
        <v>119</v>
      </c>
      <c r="C113" s="91">
        <v>109056121</v>
      </c>
      <c r="D113" s="212">
        <v>6706.5241</v>
      </c>
      <c r="E113" s="212">
        <v>6731.1708</v>
      </c>
      <c r="F113" s="68">
        <v>4800</v>
      </c>
      <c r="G113" s="213">
        <f aca="true" t="shared" si="2" ref="G113:G132">E113-D113</f>
        <v>24.646700000000237</v>
      </c>
      <c r="H113" s="68"/>
      <c r="I113" s="68">
        <f>F113*G113+H113</f>
        <v>118304.16000000114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59</v>
      </c>
      <c r="AU113" s="55"/>
      <c r="AV113" s="55"/>
      <c r="AW113" s="55"/>
      <c r="AX113" s="55"/>
      <c r="AY113" s="56"/>
      <c r="AZ113" s="125">
        <v>20203</v>
      </c>
      <c r="BA113" s="92"/>
      <c r="BB113" s="188">
        <f>AZ113*BB58</f>
        <v>70335.9554590789</v>
      </c>
    </row>
    <row r="114" spans="1:54" ht="12.75">
      <c r="A114" s="48" t="s">
        <v>120</v>
      </c>
      <c r="B114" s="48" t="s">
        <v>132</v>
      </c>
      <c r="C114" s="90">
        <v>623125232</v>
      </c>
      <c r="D114" s="214">
        <v>3063.1104</v>
      </c>
      <c r="E114" s="214">
        <v>3095.9294</v>
      </c>
      <c r="F114" s="75">
        <v>1800</v>
      </c>
      <c r="G114" s="215">
        <f t="shared" si="2"/>
        <v>32.81899999999996</v>
      </c>
      <c r="H114" s="73"/>
      <c r="I114" s="75">
        <f>G114*F114</f>
        <v>59074.199999999924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200</v>
      </c>
      <c r="AU114" s="55"/>
      <c r="AV114" s="55"/>
      <c r="AW114" s="55"/>
      <c r="AX114" s="55"/>
      <c r="AY114" s="56"/>
      <c r="AZ114" s="125">
        <v>13993</v>
      </c>
      <c r="BA114" s="92"/>
      <c r="BB114" s="188">
        <f>AZ114*BB58</f>
        <v>48716.08299454988</v>
      </c>
    </row>
    <row r="115" spans="1:54" ht="12.75">
      <c r="A115" s="49"/>
      <c r="B115" s="49" t="s">
        <v>119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180</v>
      </c>
      <c r="AU115" s="55"/>
      <c r="AV115" s="55"/>
      <c r="AW115" s="55"/>
      <c r="AX115" s="55"/>
      <c r="AY115" s="56"/>
      <c r="AZ115" s="125">
        <v>2760</v>
      </c>
      <c r="BA115" s="92"/>
      <c r="BB115" s="188">
        <f>AZ115*BB58</f>
        <v>9608.832206457348</v>
      </c>
    </row>
    <row r="116" spans="1:54" ht="12.75">
      <c r="A116" s="48" t="s">
        <v>122</v>
      </c>
      <c r="B116" s="48" t="s">
        <v>133</v>
      </c>
      <c r="C116" s="90">
        <v>623125667</v>
      </c>
      <c r="D116" s="214">
        <v>4123.4626</v>
      </c>
      <c r="E116" s="214">
        <v>4170.4933</v>
      </c>
      <c r="F116" s="75">
        <v>1800</v>
      </c>
      <c r="G116" s="215">
        <f t="shared" si="2"/>
        <v>47.03070000000025</v>
      </c>
      <c r="H116" s="73"/>
      <c r="I116" s="75">
        <f>G116*F116</f>
        <v>84655.26000000045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30000</v>
      </c>
      <c r="BA116" s="92"/>
      <c r="BB116" s="188">
        <f>AZ116*BB58</f>
        <v>104443.82833105812</v>
      </c>
    </row>
    <row r="117" spans="1:54" ht="12.75">
      <c r="A117" s="49"/>
      <c r="B117" s="49" t="s">
        <v>119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8000</v>
      </c>
      <c r="BA117" s="92"/>
      <c r="BB117" s="188">
        <f>AZ117*BB58</f>
        <v>27851.687554948832</v>
      </c>
    </row>
    <row r="118" spans="1:54" ht="12.75">
      <c r="A118" s="48" t="s">
        <v>123</v>
      </c>
      <c r="B118" s="48" t="s">
        <v>134</v>
      </c>
      <c r="C118" s="90">
        <v>623126370</v>
      </c>
      <c r="D118" s="214">
        <v>827.3908</v>
      </c>
      <c r="E118" s="214">
        <v>843.8702</v>
      </c>
      <c r="F118" s="75">
        <v>4800</v>
      </c>
      <c r="G118" s="215">
        <f t="shared" si="2"/>
        <v>16.47939999999994</v>
      </c>
      <c r="H118" s="73"/>
      <c r="I118" s="75">
        <f>G118*F118</f>
        <v>79101.11999999972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207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174.0730472184302</v>
      </c>
    </row>
    <row r="119" spans="1:54" ht="12.75">
      <c r="A119" s="49"/>
      <c r="B119" s="49" t="s">
        <v>119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202</v>
      </c>
      <c r="AU119" s="107"/>
      <c r="AV119" s="55"/>
      <c r="AW119" s="55"/>
      <c r="AX119" s="55"/>
      <c r="AY119" s="56"/>
      <c r="AZ119" s="125">
        <v>55680</v>
      </c>
      <c r="BA119" s="92"/>
      <c r="BB119" s="188">
        <f>AZ119*BB58</f>
        <v>193847.74538244386</v>
      </c>
    </row>
    <row r="120" spans="1:54" ht="12.75">
      <c r="A120" s="48" t="s">
        <v>124</v>
      </c>
      <c r="B120" s="48" t="s">
        <v>135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>
      <c r="A121" s="49"/>
      <c r="B121" s="49" t="s">
        <v>119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>
      <c r="A122" s="48" t="s">
        <v>125</v>
      </c>
      <c r="B122" s="48" t="s">
        <v>136</v>
      </c>
      <c r="C122" s="90">
        <v>623125142</v>
      </c>
      <c r="D122" s="214">
        <v>2729.165</v>
      </c>
      <c r="E122" s="214">
        <v>2759.187</v>
      </c>
      <c r="F122" s="75">
        <v>2400</v>
      </c>
      <c r="G122" s="215">
        <f t="shared" si="2"/>
        <v>30.021999999999935</v>
      </c>
      <c r="H122" s="73"/>
      <c r="I122" s="75">
        <f>G122*F122</f>
        <v>72052.79999999984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>
      <c r="A123" s="49"/>
      <c r="B123" s="49" t="s">
        <v>119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>
      <c r="A124" s="48" t="s">
        <v>126</v>
      </c>
      <c r="B124" s="48" t="s">
        <v>137</v>
      </c>
      <c r="C124" s="90">
        <v>623125205</v>
      </c>
      <c r="D124" s="214">
        <v>2239.8423</v>
      </c>
      <c r="E124" s="214">
        <v>2280.1824</v>
      </c>
      <c r="F124" s="75">
        <v>1800</v>
      </c>
      <c r="G124" s="215">
        <f t="shared" si="2"/>
        <v>40.34010000000035</v>
      </c>
      <c r="H124" s="73"/>
      <c r="I124" s="75">
        <f>G124*F124</f>
        <v>72612.18000000063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>
      <c r="A125" s="49"/>
      <c r="B125" s="49" t="s">
        <v>119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>
      <c r="A126" s="48" t="s">
        <v>127</v>
      </c>
      <c r="B126" s="48" t="s">
        <v>138</v>
      </c>
      <c r="C126" s="90">
        <v>623123704</v>
      </c>
      <c r="D126" s="214">
        <v>2745.5653</v>
      </c>
      <c r="E126" s="214">
        <v>2783.5775</v>
      </c>
      <c r="F126" s="75">
        <v>1800</v>
      </c>
      <c r="G126" s="215">
        <f t="shared" si="2"/>
        <v>38.012199999999666</v>
      </c>
      <c r="H126" s="73"/>
      <c r="I126" s="75">
        <f>G126*F126</f>
        <v>68421.9599999994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>
      <c r="A127" s="49"/>
      <c r="B127" s="49" t="s">
        <v>119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128</v>
      </c>
      <c r="B128" s="48" t="s">
        <v>139</v>
      </c>
      <c r="C128" s="90">
        <v>623125794</v>
      </c>
      <c r="D128" s="214">
        <v>185.1487</v>
      </c>
      <c r="E128" s="214">
        <v>197.3839</v>
      </c>
      <c r="F128" s="75">
        <v>1800</v>
      </c>
      <c r="G128" s="215">
        <f>E128-D128</f>
        <v>12.23520000000002</v>
      </c>
      <c r="H128" s="73"/>
      <c r="I128" s="75">
        <f>G128*F128</f>
        <v>22023.360000000037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119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129</v>
      </c>
      <c r="B130" s="48" t="s">
        <v>140</v>
      </c>
      <c r="C130" s="90">
        <v>623125736</v>
      </c>
      <c r="D130" s="214">
        <v>3235.0599</v>
      </c>
      <c r="E130" s="214">
        <v>3256.434</v>
      </c>
      <c r="F130" s="75">
        <v>1200</v>
      </c>
      <c r="G130" s="215">
        <f t="shared" si="2"/>
        <v>21.3741</v>
      </c>
      <c r="H130" s="73"/>
      <c r="I130" s="75">
        <f>G130*F130</f>
        <v>25648.92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119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6435305</v>
      </c>
      <c r="BA131" s="47"/>
      <c r="BB131" s="165">
        <f>SUM(BB93:BB96)+BB103+BB109+SUM(BB112:BB126)</f>
        <v>22404263.022600003</v>
      </c>
    </row>
    <row r="132" spans="1:54" ht="12.75">
      <c r="A132" s="48" t="s">
        <v>130</v>
      </c>
      <c r="B132" s="50" t="s">
        <v>131</v>
      </c>
      <c r="C132" s="90">
        <v>1110171156</v>
      </c>
      <c r="D132" s="214">
        <v>1792.3772</v>
      </c>
      <c r="E132" s="214">
        <v>1854.4996</v>
      </c>
      <c r="F132" s="75">
        <v>40</v>
      </c>
      <c r="G132" s="215">
        <f t="shared" si="2"/>
        <v>62.1224000000002</v>
      </c>
      <c r="H132" s="73"/>
      <c r="I132" s="75">
        <f>G132*F132</f>
        <v>2484.896000000008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119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141</v>
      </c>
      <c r="H134" s="56"/>
      <c r="I134" s="125">
        <f>SUM(I112:I133)+I107</f>
        <v>1800102.0559999968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311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144</v>
      </c>
      <c r="B135" s="50" t="s">
        <v>142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143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48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145</v>
      </c>
      <c r="B137" s="48" t="s">
        <v>240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4">
        <v>611127627</v>
      </c>
      <c r="D138" s="191">
        <v>2571.8056</v>
      </c>
      <c r="E138" s="191">
        <v>2612.83</v>
      </c>
      <c r="F138" s="60">
        <v>40</v>
      </c>
      <c r="G138" s="142">
        <f>E138-D138</f>
        <v>41.02439999999979</v>
      </c>
      <c r="H138" s="60"/>
      <c r="I138" s="60">
        <f>ROUND(F138*G138+H138,0)</f>
        <v>1641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231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302</v>
      </c>
      <c r="AX139" s="47"/>
      <c r="AY139" s="47"/>
      <c r="AZ139" s="47"/>
      <c r="BA139" s="47"/>
      <c r="BB139" s="47"/>
    </row>
    <row r="140" spans="1:54" ht="12.75">
      <c r="A140" s="48" t="s">
        <v>148</v>
      </c>
      <c r="B140" s="65"/>
      <c r="C140" s="106">
        <v>810120245</v>
      </c>
      <c r="D140" s="191">
        <v>1343.1368</v>
      </c>
      <c r="E140" s="191">
        <v>1343.3656</v>
      </c>
      <c r="F140" s="60">
        <v>3600</v>
      </c>
      <c r="G140" s="142">
        <f aca="true" t="shared" si="3" ref="G140:G145">E140-D140</f>
        <v>0.22880000000009204</v>
      </c>
      <c r="H140" s="60"/>
      <c r="I140" s="60">
        <f aca="true" t="shared" si="4" ref="I140:I145">ROUND(F140*G140+H140,0)</f>
        <v>824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304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246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4402.162</v>
      </c>
      <c r="E142" s="121">
        <v>4424.9702</v>
      </c>
      <c r="F142" s="60">
        <v>3600</v>
      </c>
      <c r="G142" s="143">
        <f t="shared" si="3"/>
        <v>22.808199999999488</v>
      </c>
      <c r="H142" s="44"/>
      <c r="I142" s="60">
        <f t="shared" si="4"/>
        <v>82110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</row>
    <row r="144" spans="1:54" ht="12.75">
      <c r="A144" s="74" t="s">
        <v>149</v>
      </c>
      <c r="B144" s="48" t="s">
        <v>115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</row>
    <row r="145" spans="1:54" ht="12.75">
      <c r="A145" s="196"/>
      <c r="B145" s="74" t="s">
        <v>114</v>
      </c>
      <c r="C145" s="194">
        <v>611127492</v>
      </c>
      <c r="D145" s="191">
        <v>6333.9172</v>
      </c>
      <c r="E145" s="191">
        <v>6375.0848</v>
      </c>
      <c r="F145" s="60">
        <v>20</v>
      </c>
      <c r="G145" s="142">
        <f t="shared" si="3"/>
        <v>41.167599999999766</v>
      </c>
      <c r="H145" s="60"/>
      <c r="I145" s="60">
        <f t="shared" si="4"/>
        <v>823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150</v>
      </c>
      <c r="B146" s="48" t="s">
        <v>241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</row>
    <row r="147" spans="1:54" ht="12.75">
      <c r="A147" s="197"/>
      <c r="B147" s="70" t="s">
        <v>281</v>
      </c>
      <c r="C147" s="194">
        <v>611127702</v>
      </c>
      <c r="D147" s="191">
        <v>7142.9656</v>
      </c>
      <c r="E147" s="191">
        <v>7200.744</v>
      </c>
      <c r="F147" s="60">
        <v>60</v>
      </c>
      <c r="G147" s="142">
        <f>E147-D147</f>
        <v>57.77839999999924</v>
      </c>
      <c r="H147" s="44"/>
      <c r="I147" s="60">
        <f>ROUND(F147*G147+H147,0)</f>
        <v>3467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</row>
    <row r="148" spans="1:54" ht="12.75">
      <c r="A148" s="63"/>
      <c r="B148" s="70" t="s">
        <v>282</v>
      </c>
      <c r="C148" s="194">
        <v>611127555</v>
      </c>
      <c r="D148" s="191">
        <v>2450.0904</v>
      </c>
      <c r="E148" s="191">
        <v>2615.1464</v>
      </c>
      <c r="F148" s="60">
        <v>60</v>
      </c>
      <c r="G148" s="142">
        <f>E148-D148</f>
        <v>165.05600000000004</v>
      </c>
      <c r="H148" s="44"/>
      <c r="I148" s="60">
        <f>ROUND(F148*G148+H148,0)</f>
        <v>9903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</row>
    <row r="149" spans="1:54" ht="12.75">
      <c r="A149" s="50" t="s">
        <v>151</v>
      </c>
      <c r="B149" s="48" t="s">
        <v>242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</row>
    <row r="150" spans="1:54" ht="12.75">
      <c r="A150" s="197"/>
      <c r="B150" s="74"/>
      <c r="C150" s="194">
        <v>1110171163</v>
      </c>
      <c r="D150" s="121">
        <v>685.0388</v>
      </c>
      <c r="E150" s="121">
        <v>697.57</v>
      </c>
      <c r="F150" s="60">
        <v>60</v>
      </c>
      <c r="G150" s="142">
        <f>E150-D150</f>
        <v>12.531200000000013</v>
      </c>
      <c r="H150" s="44"/>
      <c r="I150" s="60">
        <f>ROUND(F150*G150+H150,0)</f>
        <v>752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</row>
    <row r="151" spans="1:54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</row>
    <row r="152" spans="1:54" ht="12.75">
      <c r="A152" s="50" t="s">
        <v>152</v>
      </c>
      <c r="B152" s="48" t="s">
        <v>243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4">
        <v>1110171170</v>
      </c>
      <c r="D153" s="191">
        <v>228.06</v>
      </c>
      <c r="E153" s="191">
        <v>232.9996</v>
      </c>
      <c r="F153" s="60">
        <v>40</v>
      </c>
      <c r="G153" s="142">
        <f>E153-D153</f>
        <v>4.9395999999999844</v>
      </c>
      <c r="H153" s="60"/>
      <c r="I153" s="60">
        <f>ROUND(F153*G153+H153,0)</f>
        <v>198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</row>
    <row r="154" spans="1:54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</row>
    <row r="155" spans="1:54" ht="12.75">
      <c r="A155" s="48" t="s">
        <v>153</v>
      </c>
      <c r="B155" s="52" t="s">
        <v>276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</row>
    <row r="156" spans="1:54" ht="12.75">
      <c r="A156" s="74"/>
      <c r="B156" s="65" t="s">
        <v>232</v>
      </c>
      <c r="C156" s="194">
        <v>611126404</v>
      </c>
      <c r="D156" s="191">
        <v>947.5366</v>
      </c>
      <c r="E156" s="191">
        <v>956.5234</v>
      </c>
      <c r="F156" s="60">
        <v>1800</v>
      </c>
      <c r="G156" s="142">
        <f>E156-D156</f>
        <v>8.986800000000017</v>
      </c>
      <c r="H156" s="60"/>
      <c r="I156" s="60">
        <f>ROUND(F156*G156+H156,0)</f>
        <v>16176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</row>
    <row r="157" spans="1:54" ht="12.75">
      <c r="A157" s="49"/>
      <c r="B157" s="54" t="s">
        <v>247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233</v>
      </c>
      <c r="B158" s="48" t="s">
        <v>244</v>
      </c>
      <c r="C158" s="194">
        <v>611127724</v>
      </c>
      <c r="D158" s="191">
        <v>717.032</v>
      </c>
      <c r="E158" s="191">
        <v>724.6972</v>
      </c>
      <c r="F158" s="60">
        <v>30</v>
      </c>
      <c r="G158" s="142">
        <f>E158-D158</f>
        <v>7.665199999999913</v>
      </c>
      <c r="H158" s="60"/>
      <c r="I158" s="60">
        <f>ROUND(F158*G158+H158,0)</f>
        <v>230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>
      <c r="A159" s="46"/>
      <c r="B159" s="74" t="s">
        <v>275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154</v>
      </c>
      <c r="G161" s="55"/>
      <c r="H161" s="56"/>
      <c r="I161" s="125">
        <f>SUM(I137:I159)-I160</f>
        <v>116124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155</v>
      </c>
      <c r="H162" s="56"/>
      <c r="I162" s="125">
        <f>I103+I104+I107+I108+I109+I110-I134-I161</f>
        <v>3225032.343999995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162</v>
      </c>
      <c r="B163" s="45" t="s">
        <v>156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160</v>
      </c>
      <c r="B164" s="48" t="s">
        <v>157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158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161</v>
      </c>
      <c r="B166" s="48" t="s">
        <v>159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158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163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164</v>
      </c>
      <c r="H169" s="56"/>
      <c r="I169" s="125">
        <f>I162+I168</f>
        <v>3225032.343999995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165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290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168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169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268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291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257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251</v>
      </c>
      <c r="BA178" s="47" t="s">
        <v>27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248</v>
      </c>
      <c r="AZ179" s="190">
        <f>AZ183+AZ184+AZ185</f>
        <v>3005732</v>
      </c>
      <c r="BA179" s="218">
        <f>AZ179*2.9</f>
        <v>8716622.799999999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249</v>
      </c>
      <c r="AZ180" s="190">
        <f>AZ187-AZ179-AZ181</f>
        <v>-3005732</v>
      </c>
      <c r="BA180" s="218">
        <f>AZ180*2.9</f>
        <v>-8716622.799999999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250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252</v>
      </c>
      <c r="AZ183" s="217">
        <v>2742934</v>
      </c>
      <c r="BA183" s="216"/>
    </row>
    <row r="184" spans="51:53" ht="12.75">
      <c r="AY184" s="47" t="s">
        <v>253</v>
      </c>
      <c r="AZ184" s="217">
        <f>AZ95</f>
        <v>80945</v>
      </c>
      <c r="BA184" s="216"/>
    </row>
    <row r="185" spans="51:53" ht="12.75">
      <c r="AY185" s="47" t="s">
        <v>255</v>
      </c>
      <c r="AZ185" s="217">
        <v>181853</v>
      </c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1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7" width="9.25390625" style="0" customWidth="1"/>
    <col min="9" max="9" width="12.25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25390625" style="0" customWidth="1"/>
    <col min="17" max="17" width="10.125" style="0" customWidth="1"/>
    <col min="18" max="18" width="11.625" style="0" customWidth="1"/>
    <col min="19" max="19" width="6.375" style="0" customWidth="1"/>
    <col min="21" max="21" width="13.00390625" style="0" customWidth="1"/>
    <col min="22" max="22" width="24.875" style="0" customWidth="1"/>
    <col min="23" max="23" width="14.25390625" style="0" customWidth="1"/>
    <col min="24" max="24" width="13.875" style="0" customWidth="1"/>
    <col min="25" max="25" width="12.75390625" style="0" customWidth="1"/>
    <col min="26" max="27" width="12.875" style="0" customWidth="1"/>
    <col min="28" max="28" width="6.75390625" style="0" customWidth="1"/>
    <col min="29" max="29" width="10.875" style="0" customWidth="1"/>
    <col min="31" max="31" width="27.00390625" style="0" customWidth="1"/>
    <col min="32" max="34" width="13.25390625" style="0" customWidth="1"/>
    <col min="35" max="36" width="13.875" style="0" customWidth="1"/>
    <col min="37" max="37" width="6.875" style="0" customWidth="1"/>
    <col min="40" max="40" width="25.125" style="0" customWidth="1"/>
    <col min="41" max="45" width="13.375" style="0" customWidth="1"/>
    <col min="51" max="51" width="20.00390625" style="0" customWidth="1"/>
    <col min="52" max="52" width="18.25390625" style="0" customWidth="1"/>
    <col min="53" max="53" width="15.25390625" style="0" customWidth="1"/>
    <col min="54" max="54" width="18.12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90</v>
      </c>
      <c r="E2" s="47"/>
      <c r="F2" s="47"/>
      <c r="G2" s="47"/>
      <c r="H2" s="47"/>
      <c r="I2" s="47"/>
      <c r="J2" s="47"/>
      <c r="K2" s="47"/>
      <c r="L2" s="47"/>
      <c r="M2" s="47" t="s">
        <v>174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187</v>
      </c>
      <c r="AC2" s="47"/>
      <c r="AD2" s="47"/>
      <c r="AE2" s="47"/>
      <c r="AF2" s="47"/>
      <c r="AG2" s="47"/>
      <c r="AH2" s="47"/>
      <c r="AI2" s="47"/>
      <c r="AJ2" s="47"/>
      <c r="AK2" s="47" t="s">
        <v>187</v>
      </c>
      <c r="AL2" s="47"/>
      <c r="AM2" s="47"/>
      <c r="AN2" s="47"/>
      <c r="AO2" s="47"/>
      <c r="AP2" s="47"/>
      <c r="AQ2" s="47"/>
      <c r="AR2" s="47"/>
      <c r="AS2" s="47"/>
      <c r="AT2" s="64" t="s">
        <v>267</v>
      </c>
      <c r="AU2" s="47"/>
      <c r="AV2" s="47"/>
      <c r="AW2" s="47"/>
      <c r="AX2" s="47"/>
      <c r="AY2" s="47"/>
      <c r="AZ2" s="47"/>
      <c r="BA2" s="47"/>
      <c r="BB2" s="47"/>
    </row>
    <row r="3" spans="1:54" ht="12.75">
      <c r="A3" s="47"/>
      <c r="B3" s="47"/>
      <c r="C3" s="47"/>
      <c r="D3" s="47" t="s">
        <v>91</v>
      </c>
      <c r="E3" s="47"/>
      <c r="F3" s="47"/>
      <c r="G3" s="47"/>
      <c r="H3" s="47"/>
      <c r="I3" s="47"/>
      <c r="J3" s="47"/>
      <c r="K3" s="47"/>
      <c r="L3" s="47"/>
      <c r="M3" s="47" t="s">
        <v>175</v>
      </c>
      <c r="N3" s="47"/>
      <c r="O3" s="47"/>
      <c r="P3" s="47"/>
      <c r="Q3" s="47"/>
      <c r="R3" s="47"/>
      <c r="S3" s="47" t="s">
        <v>187</v>
      </c>
      <c r="T3" s="47"/>
      <c r="U3" s="47"/>
      <c r="V3" s="47"/>
      <c r="W3" s="47"/>
      <c r="X3" s="47"/>
      <c r="Y3" s="47"/>
      <c r="Z3" s="47"/>
      <c r="AA3" s="47"/>
      <c r="AB3" s="47" t="s">
        <v>186</v>
      </c>
      <c r="AC3" s="47"/>
      <c r="AD3" s="47"/>
      <c r="AE3" s="47"/>
      <c r="AF3" s="47"/>
      <c r="AG3" s="47"/>
      <c r="AH3" s="47"/>
      <c r="AI3" s="47"/>
      <c r="AJ3" s="47"/>
      <c r="AK3" s="47" t="s">
        <v>186</v>
      </c>
      <c r="AL3" s="47"/>
      <c r="AM3" s="47"/>
      <c r="AN3" s="47"/>
      <c r="AO3" s="47"/>
      <c r="AP3" s="47"/>
      <c r="AQ3" s="47"/>
      <c r="AR3" s="47"/>
      <c r="AS3" s="47"/>
      <c r="AT3" s="64" t="s">
        <v>269</v>
      </c>
      <c r="AU3" s="47"/>
      <c r="AV3" s="47"/>
      <c r="AW3" s="47"/>
      <c r="AX3" s="47"/>
      <c r="AY3" s="47"/>
      <c r="AZ3" s="47"/>
      <c r="BA3" s="47"/>
      <c r="BB3" s="47"/>
    </row>
    <row r="4" spans="1:54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186</v>
      </c>
      <c r="T4" s="47"/>
      <c r="U4" s="47"/>
      <c r="V4" s="47"/>
      <c r="W4" s="47"/>
      <c r="X4" s="47"/>
      <c r="Y4" s="47"/>
      <c r="Z4" s="47"/>
      <c r="AA4" s="47"/>
      <c r="AB4" s="47" t="s">
        <v>188</v>
      </c>
      <c r="AC4" s="47"/>
      <c r="AD4" s="47"/>
      <c r="AE4" s="47"/>
      <c r="AF4" s="47"/>
      <c r="AG4" s="47"/>
      <c r="AH4" s="47"/>
      <c r="AI4" s="47"/>
      <c r="AJ4" s="47"/>
      <c r="AK4" s="47" t="s">
        <v>188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212</v>
      </c>
      <c r="AV4" s="47"/>
      <c r="AW4" s="47"/>
      <c r="AX4" s="47"/>
      <c r="AY4" s="144" t="s">
        <v>206</v>
      </c>
      <c r="AZ4" s="144" t="s">
        <v>293</v>
      </c>
      <c r="BA4" s="47"/>
      <c r="BB4" s="47"/>
    </row>
    <row r="5" spans="1:54" ht="12.75">
      <c r="A5" s="47"/>
      <c r="B5" s="47"/>
      <c r="C5" s="47" t="s">
        <v>92</v>
      </c>
      <c r="D5" s="47"/>
      <c r="E5" s="47"/>
      <c r="F5" s="47"/>
      <c r="G5" s="47"/>
      <c r="H5" s="47"/>
      <c r="I5" s="47"/>
      <c r="J5" s="47"/>
      <c r="K5" s="47"/>
      <c r="L5" s="47" t="s">
        <v>92</v>
      </c>
      <c r="M5" s="47"/>
      <c r="N5" s="47"/>
      <c r="O5" s="47"/>
      <c r="P5" s="47"/>
      <c r="Q5" s="47"/>
      <c r="R5" s="47"/>
      <c r="S5" s="47" t="s">
        <v>188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214</v>
      </c>
      <c r="AV5" s="51"/>
      <c r="AW5" s="51"/>
      <c r="AX5" s="51"/>
      <c r="AY5" s="51"/>
      <c r="AZ5" s="50" t="s">
        <v>215</v>
      </c>
      <c r="BA5" s="50" t="s">
        <v>216</v>
      </c>
      <c r="BB5" s="48" t="s">
        <v>201</v>
      </c>
    </row>
    <row r="6" spans="1:54" ht="12.75">
      <c r="A6" s="47"/>
      <c r="B6" s="47"/>
      <c r="C6" s="47"/>
      <c r="D6" s="167" t="s">
        <v>312</v>
      </c>
      <c r="E6" s="167"/>
      <c r="F6" s="47"/>
      <c r="G6" s="47"/>
      <c r="H6" s="47"/>
      <c r="I6" s="47"/>
      <c r="J6" s="47"/>
      <c r="K6" s="47"/>
      <c r="L6" s="47"/>
      <c r="M6" s="167" t="s">
        <v>312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217</v>
      </c>
      <c r="BA6" s="63" t="s">
        <v>76</v>
      </c>
      <c r="BB6" s="74" t="s">
        <v>14</v>
      </c>
    </row>
    <row r="7" spans="1:54" ht="12.75">
      <c r="A7" s="47" t="s">
        <v>265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77</v>
      </c>
      <c r="BA7" s="46"/>
      <c r="BB7" s="49" t="s">
        <v>15</v>
      </c>
    </row>
    <row r="8" spans="1:54" ht="12.75">
      <c r="A8" s="47" t="s">
        <v>93</v>
      </c>
      <c r="B8" s="47"/>
      <c r="C8" s="47"/>
      <c r="D8" s="47"/>
      <c r="E8" s="47"/>
      <c r="F8" s="47"/>
      <c r="G8" s="47"/>
      <c r="H8" s="47"/>
      <c r="I8" s="47"/>
      <c r="J8" s="47" t="s">
        <v>265</v>
      </c>
      <c r="K8" s="47"/>
      <c r="L8" s="47"/>
      <c r="M8" s="47"/>
      <c r="N8" s="47"/>
      <c r="O8" s="47"/>
      <c r="P8" s="47"/>
      <c r="Q8" s="47"/>
      <c r="R8" s="47"/>
      <c r="S8" s="47" t="s">
        <v>199</v>
      </c>
      <c r="T8" s="47"/>
      <c r="U8" s="47"/>
      <c r="V8" s="47"/>
      <c r="W8" s="47"/>
      <c r="X8" s="47"/>
      <c r="Y8" s="47"/>
      <c r="Z8" s="47"/>
      <c r="AA8" s="47"/>
      <c r="AB8" s="47" t="s">
        <v>199</v>
      </c>
      <c r="AC8" s="47"/>
      <c r="AD8" s="47"/>
      <c r="AE8" s="47"/>
      <c r="AF8" s="47"/>
      <c r="AG8" s="47"/>
      <c r="AH8" s="47"/>
      <c r="AI8" s="47"/>
      <c r="AJ8" s="47"/>
      <c r="AK8" s="47" t="s">
        <v>199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9355812.79999998</v>
      </c>
      <c r="BA8" s="168"/>
      <c r="BB8" s="169">
        <f>BB9+BB14</f>
        <v>22270003.371419996</v>
      </c>
    </row>
    <row r="9" spans="1:54" ht="12.75">
      <c r="A9" s="47" t="s">
        <v>95</v>
      </c>
      <c r="B9" s="47"/>
      <c r="C9" s="47"/>
      <c r="D9" s="47"/>
      <c r="E9" s="47"/>
      <c r="F9" s="47" t="s">
        <v>94</v>
      </c>
      <c r="G9" s="47"/>
      <c r="H9" s="47"/>
      <c r="I9" s="47"/>
      <c r="J9" s="47" t="s">
        <v>93</v>
      </c>
      <c r="K9" s="47"/>
      <c r="L9" s="47"/>
      <c r="M9" s="47"/>
      <c r="N9" s="47"/>
      <c r="O9" s="47" t="s">
        <v>94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203</v>
      </c>
      <c r="AU9" s="146"/>
      <c r="AV9" s="146"/>
      <c r="AW9" s="146"/>
      <c r="AX9" s="51"/>
      <c r="AY9" s="52"/>
      <c r="AZ9" s="170">
        <f>AZ11+AZ12</f>
        <v>6312104</v>
      </c>
      <c r="BA9" s="171">
        <f>(BB12+BB11)/AZ9</f>
        <v>3.5279782100263235</v>
      </c>
      <c r="BB9" s="169">
        <f>BB10+BB11+BB12+BB13</f>
        <v>22268965.371419996</v>
      </c>
    </row>
    <row r="10" spans="1:54" ht="12.75">
      <c r="A10" s="48" t="s">
        <v>190</v>
      </c>
      <c r="B10" s="73" t="s">
        <v>96</v>
      </c>
      <c r="C10" s="48" t="s">
        <v>97</v>
      </c>
      <c r="D10" s="116" t="s">
        <v>172</v>
      </c>
      <c r="E10" s="117"/>
      <c r="F10" s="48" t="s">
        <v>98</v>
      </c>
      <c r="G10" s="48" t="s">
        <v>213</v>
      </c>
      <c r="H10" s="48" t="s">
        <v>99</v>
      </c>
      <c r="I10" s="48" t="s">
        <v>89</v>
      </c>
      <c r="J10" s="47" t="s">
        <v>95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313</v>
      </c>
      <c r="Z10" s="47"/>
      <c r="AA10" s="47"/>
      <c r="AB10" s="47"/>
      <c r="AC10" s="47"/>
      <c r="AD10" s="47"/>
      <c r="AE10" s="47"/>
      <c r="AF10" s="47"/>
      <c r="AG10" s="47"/>
      <c r="AH10" s="167" t="s">
        <v>313</v>
      </c>
      <c r="AI10" s="47"/>
      <c r="AJ10" s="47"/>
      <c r="AK10" s="47"/>
      <c r="AL10" s="47"/>
      <c r="AM10" s="47"/>
      <c r="AN10" s="47"/>
      <c r="AO10" s="47"/>
      <c r="AP10" s="47"/>
      <c r="AQ10" s="167" t="s">
        <v>313</v>
      </c>
      <c r="AR10" s="47"/>
      <c r="AS10" s="47"/>
      <c r="AT10" s="50" t="s">
        <v>78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100</v>
      </c>
      <c r="E11" s="50" t="s">
        <v>101</v>
      </c>
      <c r="F11" s="74" t="s">
        <v>102</v>
      </c>
      <c r="G11" s="74" t="s">
        <v>88</v>
      </c>
      <c r="H11" s="74"/>
      <c r="I11" s="74" t="s">
        <v>103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79</v>
      </c>
      <c r="AU11" s="51"/>
      <c r="AV11" s="51"/>
      <c r="AW11" s="51"/>
      <c r="AX11" s="51"/>
      <c r="AY11" s="52"/>
      <c r="AZ11" s="60">
        <f>I81+I73</f>
        <v>5938.000000000022</v>
      </c>
      <c r="BA11" s="175">
        <v>5.25714</v>
      </c>
      <c r="BB11" s="174">
        <f>AZ11*BA11</f>
        <v>31216.897320000113</v>
      </c>
    </row>
    <row r="12" spans="1:54" ht="12.75">
      <c r="A12" s="49"/>
      <c r="B12" s="49"/>
      <c r="C12" s="49"/>
      <c r="D12" s="49" t="s">
        <v>104</v>
      </c>
      <c r="E12" s="46" t="s">
        <v>104</v>
      </c>
      <c r="F12" s="49" t="s">
        <v>105</v>
      </c>
      <c r="G12" s="49"/>
      <c r="H12" s="49"/>
      <c r="I12" s="49"/>
      <c r="J12" s="48" t="s">
        <v>190</v>
      </c>
      <c r="K12" s="73" t="s">
        <v>96</v>
      </c>
      <c r="L12" s="48" t="s">
        <v>97</v>
      </c>
      <c r="M12" s="116" t="s">
        <v>229</v>
      </c>
      <c r="N12" s="117"/>
      <c r="O12" s="48" t="s">
        <v>98</v>
      </c>
      <c r="P12" s="48" t="s">
        <v>213</v>
      </c>
      <c r="Q12" s="48" t="s">
        <v>99</v>
      </c>
      <c r="R12" s="48" t="s">
        <v>89</v>
      </c>
      <c r="S12" s="48" t="s">
        <v>190</v>
      </c>
      <c r="T12" s="50" t="s">
        <v>191</v>
      </c>
      <c r="U12" s="51"/>
      <c r="V12" s="52"/>
      <c r="W12" s="45" t="s">
        <v>192</v>
      </c>
      <c r="X12" s="55"/>
      <c r="Y12" s="55"/>
      <c r="Z12" s="55"/>
      <c r="AA12" s="56"/>
      <c r="AB12" s="48" t="s">
        <v>190</v>
      </c>
      <c r="AC12" s="50" t="s">
        <v>191</v>
      </c>
      <c r="AD12" s="51"/>
      <c r="AE12" s="52"/>
      <c r="AF12" s="45" t="s">
        <v>192</v>
      </c>
      <c r="AG12" s="55"/>
      <c r="AH12" s="55"/>
      <c r="AI12" s="55"/>
      <c r="AJ12" s="56"/>
      <c r="AK12" s="48" t="s">
        <v>190</v>
      </c>
      <c r="AL12" s="50" t="s">
        <v>191</v>
      </c>
      <c r="AM12" s="51"/>
      <c r="AN12" s="52"/>
      <c r="AO12" s="45" t="s">
        <v>192</v>
      </c>
      <c r="AP12" s="55"/>
      <c r="AQ12" s="55"/>
      <c r="AR12" s="55"/>
      <c r="AS12" s="56"/>
      <c r="AT12" s="50" t="s">
        <v>80</v>
      </c>
      <c r="AU12" s="51"/>
      <c r="AV12" s="51"/>
      <c r="AW12" s="51"/>
      <c r="AX12" s="51"/>
      <c r="AY12" s="52"/>
      <c r="AZ12" s="170">
        <f>I75</f>
        <v>6306166</v>
      </c>
      <c r="BA12" s="176">
        <v>3.52635</v>
      </c>
      <c r="BB12" s="174">
        <f>AZ12*BA12</f>
        <v>22237748.474099997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100</v>
      </c>
      <c r="N13" s="50" t="s">
        <v>101</v>
      </c>
      <c r="O13" s="74" t="s">
        <v>102</v>
      </c>
      <c r="P13" s="74" t="s">
        <v>88</v>
      </c>
      <c r="Q13" s="74"/>
      <c r="R13" s="74" t="s">
        <v>103</v>
      </c>
      <c r="S13" s="49"/>
      <c r="T13" s="46"/>
      <c r="U13" s="53"/>
      <c r="V13" s="54"/>
      <c r="W13" s="57" t="s">
        <v>193</v>
      </c>
      <c r="X13" s="57" t="s">
        <v>194</v>
      </c>
      <c r="Y13" s="57" t="s">
        <v>195</v>
      </c>
      <c r="Z13" s="57" t="s">
        <v>196</v>
      </c>
      <c r="AA13" s="57" t="s">
        <v>197</v>
      </c>
      <c r="AB13" s="49"/>
      <c r="AC13" s="46"/>
      <c r="AD13" s="53"/>
      <c r="AE13" s="54"/>
      <c r="AF13" s="57" t="s">
        <v>193</v>
      </c>
      <c r="AG13" s="57" t="s">
        <v>194</v>
      </c>
      <c r="AH13" s="57" t="s">
        <v>195</v>
      </c>
      <c r="AI13" s="57" t="s">
        <v>196</v>
      </c>
      <c r="AJ13" s="57" t="s">
        <v>197</v>
      </c>
      <c r="AK13" s="49"/>
      <c r="AL13" s="46"/>
      <c r="AM13" s="53"/>
      <c r="AN13" s="54"/>
      <c r="AO13" s="57" t="s">
        <v>193</v>
      </c>
      <c r="AP13" s="57" t="s">
        <v>194</v>
      </c>
      <c r="AQ13" s="57" t="s">
        <v>195</v>
      </c>
      <c r="AR13" s="57" t="s">
        <v>196</v>
      </c>
      <c r="AS13" s="57" t="s">
        <v>197</v>
      </c>
      <c r="AT13" s="45" t="s">
        <v>73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9" t="s">
        <v>106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104</v>
      </c>
      <c r="N14" s="46" t="s">
        <v>104</v>
      </c>
      <c r="O14" s="49" t="s">
        <v>105</v>
      </c>
      <c r="P14" s="49"/>
      <c r="Q14" s="49"/>
      <c r="R14" s="49"/>
      <c r="S14" s="57">
        <v>1</v>
      </c>
      <c r="T14" s="44" t="s">
        <v>64</v>
      </c>
      <c r="U14" s="44"/>
      <c r="V14" s="44"/>
      <c r="W14" s="60">
        <f aca="true" t="shared" si="0" ref="W14:W25">SUM(X14:AA14)</f>
        <v>2840872</v>
      </c>
      <c r="X14" s="60">
        <f>SUM(X15:X26)</f>
        <v>2499083</v>
      </c>
      <c r="Y14" s="60">
        <f>SUM(Y15:Y27)</f>
        <v>0</v>
      </c>
      <c r="Z14" s="60">
        <f>SUM(Z15:Z26)</f>
        <v>341789</v>
      </c>
      <c r="AA14" s="57">
        <f>SUM(AA15:AA27)</f>
        <v>0</v>
      </c>
      <c r="AB14" s="57"/>
      <c r="AC14" s="44" t="s">
        <v>43</v>
      </c>
      <c r="AD14" s="44"/>
      <c r="AE14" s="44"/>
      <c r="AF14" s="67">
        <f>SUM(AG14:AJ14)</f>
        <v>156314</v>
      </c>
      <c r="AG14" s="60">
        <f>SUM(AG16:AG22)</f>
        <v>152205</v>
      </c>
      <c r="AH14" s="60">
        <f>SUM(AH16:AH22)</f>
        <v>0</v>
      </c>
      <c r="AI14" s="60">
        <f>SUM(AI16:AI22)</f>
        <v>4109</v>
      </c>
      <c r="AJ14" s="57">
        <f>SUM(AJ16:AJ22)</f>
        <v>0</v>
      </c>
      <c r="AK14" s="73">
        <v>1</v>
      </c>
      <c r="AL14" s="48" t="s">
        <v>43</v>
      </c>
      <c r="AM14" s="48"/>
      <c r="AN14" s="48"/>
      <c r="AO14" s="75">
        <f>SUM(AP14:AS14)</f>
        <v>46443</v>
      </c>
      <c r="AP14" s="75">
        <f>SUM(AP16:AP17)</f>
        <v>0</v>
      </c>
      <c r="AQ14" s="75">
        <f>SUM(AQ16:AQ17)</f>
        <v>0</v>
      </c>
      <c r="AR14" s="75">
        <f>ROUND(SUM(AR16:AR20),0)</f>
        <v>46443</v>
      </c>
      <c r="AS14" s="73">
        <f>SUM(AS16:AS17)</f>
        <v>0</v>
      </c>
      <c r="AT14" s="49" t="s">
        <v>219</v>
      </c>
      <c r="AU14" s="49"/>
      <c r="AV14" s="49"/>
      <c r="AW14" s="49"/>
      <c r="AX14" s="49"/>
      <c r="AY14" s="49"/>
      <c r="AZ14" s="170">
        <f>SUM(AZ15:AZ21)</f>
        <v>348</v>
      </c>
      <c r="BA14" s="177"/>
      <c r="BB14" s="174">
        <f>SUM(BB15:BB21)</f>
        <v>1038</v>
      </c>
    </row>
    <row r="15" spans="1:54" ht="12.75">
      <c r="A15" s="46"/>
      <c r="B15" s="45" t="s">
        <v>258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50</v>
      </c>
      <c r="T15" s="50" t="s">
        <v>28</v>
      </c>
      <c r="U15" s="51"/>
      <c r="V15" s="51"/>
      <c r="W15" s="67">
        <f t="shared" si="0"/>
        <v>1412528</v>
      </c>
      <c r="X15" s="88">
        <f>ROUND(I20,0)</f>
        <v>1412528</v>
      </c>
      <c r="Y15" s="73">
        <v>0</v>
      </c>
      <c r="Z15" s="73">
        <v>0</v>
      </c>
      <c r="AA15" s="73">
        <v>0</v>
      </c>
      <c r="AB15" s="73">
        <v>1</v>
      </c>
      <c r="AC15" s="50" t="s">
        <v>278</v>
      </c>
      <c r="AD15" s="51"/>
      <c r="AE15" s="52"/>
      <c r="AF15" s="66"/>
      <c r="AG15" s="69"/>
      <c r="AH15" s="69"/>
      <c r="AI15" s="69"/>
      <c r="AJ15" s="192"/>
      <c r="AK15" s="208"/>
      <c r="AL15" s="50" t="s">
        <v>280</v>
      </c>
      <c r="AM15" s="51"/>
      <c r="AN15" s="52"/>
      <c r="AO15" s="75"/>
      <c r="AP15" s="73"/>
      <c r="AQ15" s="73"/>
      <c r="AR15" s="75"/>
      <c r="AS15" s="73"/>
      <c r="AT15" s="52" t="s">
        <v>74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>
      <c r="A16" s="73">
        <v>1</v>
      </c>
      <c r="B16" s="48" t="s">
        <v>146</v>
      </c>
      <c r="C16" s="90">
        <v>804152757</v>
      </c>
      <c r="D16" s="121">
        <v>5389.8917</v>
      </c>
      <c r="E16" s="121">
        <v>5476.9902</v>
      </c>
      <c r="F16" s="60">
        <v>36000</v>
      </c>
      <c r="G16" s="142">
        <f>E16-D16</f>
        <v>87.09850000000006</v>
      </c>
      <c r="H16" s="44"/>
      <c r="I16" s="60">
        <f>ROUND((F16*G16+H16),0)</f>
        <v>3135546</v>
      </c>
      <c r="J16" s="46"/>
      <c r="K16" s="53"/>
      <c r="L16" s="53" t="s">
        <v>106</v>
      </c>
      <c r="M16" s="53"/>
      <c r="N16" s="53"/>
      <c r="O16" s="53"/>
      <c r="P16" s="53"/>
      <c r="Q16" s="53"/>
      <c r="R16" s="54"/>
      <c r="S16" s="61" t="s">
        <v>51</v>
      </c>
      <c r="T16" s="63" t="s">
        <v>29</v>
      </c>
      <c r="U16" s="64"/>
      <c r="V16" s="64"/>
      <c r="W16" s="67">
        <f t="shared" si="0"/>
        <v>120183</v>
      </c>
      <c r="X16" s="81">
        <f>ROUND(I27,0)</f>
        <v>120183</v>
      </c>
      <c r="Y16" s="70">
        <v>0</v>
      </c>
      <c r="Z16" s="67">
        <v>0</v>
      </c>
      <c r="AA16" s="70">
        <v>0</v>
      </c>
      <c r="AB16" s="61" t="s">
        <v>50</v>
      </c>
      <c r="AC16" s="63" t="s">
        <v>198</v>
      </c>
      <c r="AD16" s="64"/>
      <c r="AE16" s="65"/>
      <c r="AF16" s="67">
        <f>AG16+AH16+AI16+AJ16</f>
        <v>152205</v>
      </c>
      <c r="AG16" s="67">
        <v>152205</v>
      </c>
      <c r="AH16" s="70">
        <v>0</v>
      </c>
      <c r="AI16" s="67">
        <v>0</v>
      </c>
      <c r="AJ16" s="87">
        <v>0</v>
      </c>
      <c r="AK16" s="61" t="s">
        <v>50</v>
      </c>
      <c r="AL16" s="63" t="s">
        <v>16</v>
      </c>
      <c r="AM16" s="64"/>
      <c r="AN16" s="65"/>
      <c r="AO16" s="67">
        <f>AP16+AQ16+AR16+AS16</f>
        <v>142</v>
      </c>
      <c r="AP16" s="70">
        <v>0</v>
      </c>
      <c r="AQ16" s="70">
        <v>0</v>
      </c>
      <c r="AR16" s="67">
        <v>142</v>
      </c>
      <c r="AS16" s="70">
        <v>0</v>
      </c>
      <c r="AT16" s="52" t="s">
        <v>74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>
      <c r="A17" s="49"/>
      <c r="B17" s="46" t="s">
        <v>147</v>
      </c>
      <c r="C17" s="106">
        <v>109054169</v>
      </c>
      <c r="D17" s="121">
        <v>8240.0125</v>
      </c>
      <c r="E17" s="121">
        <v>8371.4313</v>
      </c>
      <c r="F17" s="60">
        <v>36000</v>
      </c>
      <c r="G17" s="142">
        <f>E17-D17</f>
        <v>131.41879999999946</v>
      </c>
      <c r="H17" s="44"/>
      <c r="I17" s="60">
        <f>F17*G17+H17</f>
        <v>4731076.79999998</v>
      </c>
      <c r="J17" s="44"/>
      <c r="K17" s="45" t="s">
        <v>107</v>
      </c>
      <c r="L17" s="55"/>
      <c r="M17" s="55"/>
      <c r="N17" s="55"/>
      <c r="O17" s="55"/>
      <c r="P17" s="55"/>
      <c r="Q17" s="55"/>
      <c r="R17" s="56"/>
      <c r="S17" s="61" t="s">
        <v>52</v>
      </c>
      <c r="T17" s="63" t="s">
        <v>30</v>
      </c>
      <c r="U17" s="64"/>
      <c r="V17" s="64"/>
      <c r="W17" s="67">
        <f t="shared" si="0"/>
        <v>141769</v>
      </c>
      <c r="X17" s="81">
        <f>ROUND(I29,0)</f>
        <v>141769</v>
      </c>
      <c r="Y17" s="70">
        <v>0</v>
      </c>
      <c r="Z17" s="67">
        <v>0</v>
      </c>
      <c r="AA17" s="70">
        <v>0</v>
      </c>
      <c r="AB17" s="61" t="s">
        <v>51</v>
      </c>
      <c r="AC17" s="63" t="s">
        <v>72</v>
      </c>
      <c r="AD17" s="64"/>
      <c r="AE17" s="65"/>
      <c r="AF17" s="67">
        <f>AG17+AH17+AI17+AJ17</f>
        <v>1350</v>
      </c>
      <c r="AG17" s="70">
        <v>0</v>
      </c>
      <c r="AH17" s="70">
        <v>0</v>
      </c>
      <c r="AI17" s="67">
        <v>1350</v>
      </c>
      <c r="AJ17" s="87">
        <v>0</v>
      </c>
      <c r="AK17" s="61" t="s">
        <v>51</v>
      </c>
      <c r="AL17" s="63" t="s">
        <v>166</v>
      </c>
      <c r="AM17" s="64"/>
      <c r="AN17" s="65"/>
      <c r="AO17" s="67">
        <f>AP17+AQ17+AR17+AS17</f>
        <v>256</v>
      </c>
      <c r="AP17" s="70">
        <v>0</v>
      </c>
      <c r="AQ17" s="70">
        <v>0</v>
      </c>
      <c r="AR17" s="67">
        <v>256</v>
      </c>
      <c r="AS17" s="70">
        <v>0</v>
      </c>
      <c r="AT17" s="51" t="s">
        <v>46</v>
      </c>
      <c r="AU17" s="51"/>
      <c r="AV17" s="51"/>
      <c r="AW17" s="51"/>
      <c r="AX17" s="51"/>
      <c r="AY17" s="52"/>
      <c r="AZ17" s="170">
        <f>R21</f>
        <v>120</v>
      </c>
      <c r="BA17" s="180">
        <v>3.41</v>
      </c>
      <c r="BB17" s="174">
        <f>AZ17*BA17</f>
        <v>409.20000000000005</v>
      </c>
    </row>
    <row r="18" spans="1:54" ht="12.75">
      <c r="A18" s="45"/>
      <c r="B18" s="55"/>
      <c r="C18" s="53"/>
      <c r="D18" s="55"/>
      <c r="E18" s="55"/>
      <c r="F18" s="107" t="s">
        <v>109</v>
      </c>
      <c r="G18" s="55"/>
      <c r="H18" s="56"/>
      <c r="I18" s="60">
        <f>ROUND((I16+I17+I22),0)</f>
        <v>7937347</v>
      </c>
      <c r="J18" s="57">
        <v>1</v>
      </c>
      <c r="K18" s="45" t="s">
        <v>108</v>
      </c>
      <c r="L18" s="55"/>
      <c r="M18" s="55"/>
      <c r="N18" s="55"/>
      <c r="O18" s="55"/>
      <c r="P18" s="55"/>
      <c r="Q18" s="55"/>
      <c r="R18" s="56"/>
      <c r="S18" s="61" t="s">
        <v>53</v>
      </c>
      <c r="T18" s="63" t="s">
        <v>31</v>
      </c>
      <c r="U18" s="64"/>
      <c r="V18" s="64"/>
      <c r="W18" s="67">
        <f t="shared" si="0"/>
        <v>211276</v>
      </c>
      <c r="X18" s="81">
        <f>ROUND(I31,0)</f>
        <v>211276</v>
      </c>
      <c r="Y18" s="70">
        <v>0</v>
      </c>
      <c r="Z18" s="67">
        <v>0</v>
      </c>
      <c r="AA18" s="70">
        <v>0</v>
      </c>
      <c r="AB18" s="62" t="s">
        <v>52</v>
      </c>
      <c r="AC18" s="53" t="s">
        <v>61</v>
      </c>
      <c r="AD18" s="53"/>
      <c r="AE18" s="53"/>
      <c r="AF18" s="68">
        <f>AG18+AH18+AI18+AJ18</f>
        <v>2759</v>
      </c>
      <c r="AG18" s="71">
        <v>0</v>
      </c>
      <c r="AH18" s="71">
        <v>0</v>
      </c>
      <c r="AI18" s="68">
        <v>2759</v>
      </c>
      <c r="AJ18" s="207">
        <v>0</v>
      </c>
      <c r="AK18" s="61" t="s">
        <v>52</v>
      </c>
      <c r="AL18" s="63" t="s">
        <v>42</v>
      </c>
      <c r="AM18" s="64"/>
      <c r="AN18" s="65"/>
      <c r="AO18" s="67">
        <f>AP18+AQ18+AR18+AS18</f>
        <v>42031</v>
      </c>
      <c r="AP18" s="70">
        <v>0</v>
      </c>
      <c r="AQ18" s="70">
        <v>0</v>
      </c>
      <c r="AR18" s="67">
        <v>42031</v>
      </c>
      <c r="AS18" s="70">
        <v>0</v>
      </c>
      <c r="AT18" s="51" t="s">
        <v>47</v>
      </c>
      <c r="AU18" s="51"/>
      <c r="AV18" s="51"/>
      <c r="AW18" s="51"/>
      <c r="AX18" s="51"/>
      <c r="AY18" s="52"/>
      <c r="AZ18" s="170">
        <f>R22</f>
        <v>40</v>
      </c>
      <c r="BA18" s="180">
        <v>1.62</v>
      </c>
      <c r="BB18" s="174">
        <f>AZ18*BA18</f>
        <v>64.80000000000001</v>
      </c>
    </row>
    <row r="19" spans="1:54" ht="12.75">
      <c r="A19" s="44" t="s">
        <v>110</v>
      </c>
      <c r="B19" s="45" t="s">
        <v>230</v>
      </c>
      <c r="C19" s="55"/>
      <c r="D19" s="55"/>
      <c r="E19" s="55"/>
      <c r="F19" s="55"/>
      <c r="G19" s="55"/>
      <c r="H19" s="55"/>
      <c r="I19" s="56"/>
      <c r="J19" s="73" t="s">
        <v>110</v>
      </c>
      <c r="K19" s="48" t="s">
        <v>176</v>
      </c>
      <c r="L19" s="73">
        <v>16654</v>
      </c>
      <c r="M19" s="124">
        <v>6845</v>
      </c>
      <c r="N19" s="124">
        <v>7033</v>
      </c>
      <c r="O19" s="73">
        <v>1</v>
      </c>
      <c r="P19" s="148">
        <f>N19-M19</f>
        <v>188</v>
      </c>
      <c r="Q19" s="149"/>
      <c r="R19" s="75">
        <f>O19*P19+Q19</f>
        <v>188</v>
      </c>
      <c r="S19" s="61" t="s">
        <v>58</v>
      </c>
      <c r="T19" s="63" t="s">
        <v>32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53</v>
      </c>
      <c r="AL19" s="63" t="s">
        <v>63</v>
      </c>
      <c r="AM19" s="64"/>
      <c r="AN19" s="65"/>
      <c r="AO19" s="67">
        <f>AP19+AQ19+AR19+AS19</f>
        <v>391</v>
      </c>
      <c r="AP19" s="67">
        <v>0</v>
      </c>
      <c r="AQ19" s="70">
        <v>0</v>
      </c>
      <c r="AR19" s="67">
        <v>391</v>
      </c>
      <c r="AS19" s="70">
        <v>0</v>
      </c>
      <c r="AT19" s="51" t="s">
        <v>81</v>
      </c>
      <c r="AU19" s="51"/>
      <c r="AV19" s="51"/>
      <c r="AW19" s="51"/>
      <c r="AX19" s="51"/>
      <c r="AY19" s="52"/>
      <c r="AZ19" s="181">
        <f>R19+R20</f>
        <v>188</v>
      </c>
      <c r="BA19" s="175">
        <v>3</v>
      </c>
      <c r="BB19" s="174">
        <f>AZ19*BA19</f>
        <v>564</v>
      </c>
    </row>
    <row r="20" spans="1:54" ht="12.75">
      <c r="A20" s="44" t="s">
        <v>112</v>
      </c>
      <c r="B20" s="44" t="s">
        <v>113</v>
      </c>
      <c r="C20" s="106">
        <v>109053225</v>
      </c>
      <c r="D20" s="121">
        <v>20057.5836</v>
      </c>
      <c r="E20" s="121">
        <v>20124.8468</v>
      </c>
      <c r="F20" s="60">
        <v>21000</v>
      </c>
      <c r="G20" s="142">
        <f>E20-D20</f>
        <v>67.2631999999976</v>
      </c>
      <c r="H20" s="44"/>
      <c r="I20" s="233">
        <f>ROUND((F20*G20+H20),0)+1</f>
        <v>1412528</v>
      </c>
      <c r="J20" s="49"/>
      <c r="K20" s="49" t="s">
        <v>177</v>
      </c>
      <c r="L20" s="49"/>
      <c r="M20" s="49"/>
      <c r="N20" s="49"/>
      <c r="O20" s="49"/>
      <c r="P20" s="80"/>
      <c r="Q20" s="150"/>
      <c r="R20" s="166"/>
      <c r="S20" s="61" t="s">
        <v>62</v>
      </c>
      <c r="T20" s="63" t="s">
        <v>33</v>
      </c>
      <c r="U20" s="64"/>
      <c r="V20" s="64"/>
      <c r="W20" s="67">
        <f t="shared" si="0"/>
        <v>270955</v>
      </c>
      <c r="X20" s="81">
        <f>ROUND(I35,0)</f>
        <v>270955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58</v>
      </c>
      <c r="AL20" s="46" t="s">
        <v>279</v>
      </c>
      <c r="AM20" s="53"/>
      <c r="AN20" s="54"/>
      <c r="AO20" s="68">
        <f>AP20+AQ20+AR20+AS20</f>
        <v>3623</v>
      </c>
      <c r="AP20" s="68"/>
      <c r="AQ20" s="71"/>
      <c r="AR20" s="68">
        <v>3623</v>
      </c>
      <c r="AS20" s="71"/>
      <c r="AT20" s="51" t="s">
        <v>218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>
      <c r="A21" s="44" t="s">
        <v>259</v>
      </c>
      <c r="B21" s="55" t="s">
        <v>262</v>
      </c>
      <c r="C21" s="53"/>
      <c r="D21" s="55"/>
      <c r="E21" s="55"/>
      <c r="F21" s="107"/>
      <c r="G21" s="55"/>
      <c r="H21" s="56"/>
      <c r="I21" s="60"/>
      <c r="J21" s="48" t="s">
        <v>116</v>
      </c>
      <c r="K21" s="48" t="s">
        <v>179</v>
      </c>
      <c r="L21" s="225">
        <v>122848480</v>
      </c>
      <c r="M21" s="224">
        <v>580</v>
      </c>
      <c r="N21" s="224">
        <v>586</v>
      </c>
      <c r="O21" s="57">
        <v>20</v>
      </c>
      <c r="P21" s="223">
        <f>N21-M21</f>
        <v>6</v>
      </c>
      <c r="Q21" s="151"/>
      <c r="R21" s="60">
        <f>O21*P21+Q21</f>
        <v>120</v>
      </c>
      <c r="S21" s="61" t="s">
        <v>65</v>
      </c>
      <c r="T21" s="63" t="s">
        <v>34</v>
      </c>
      <c r="U21" s="64"/>
      <c r="V21" s="64"/>
      <c r="W21" s="67">
        <f t="shared" si="0"/>
        <v>118727</v>
      </c>
      <c r="X21" s="81">
        <f>ROUND(I37,0)</f>
        <v>118727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>
      <c r="A22" s="44" t="s">
        <v>260</v>
      </c>
      <c r="B22" s="45" t="s">
        <v>263</v>
      </c>
      <c r="C22" s="55"/>
      <c r="D22" s="55"/>
      <c r="E22" s="55"/>
      <c r="F22" s="55"/>
      <c r="G22" s="55"/>
      <c r="H22" s="56"/>
      <c r="I22" s="170">
        <v>70724</v>
      </c>
      <c r="J22" s="49"/>
      <c r="K22" s="49" t="s">
        <v>178</v>
      </c>
      <c r="L22" s="225">
        <v>122848480</v>
      </c>
      <c r="M22" s="224">
        <v>156</v>
      </c>
      <c r="N22" s="224">
        <v>158</v>
      </c>
      <c r="O22" s="57">
        <v>20</v>
      </c>
      <c r="P22" s="223">
        <f>N22-M22</f>
        <v>2</v>
      </c>
      <c r="Q22" s="151"/>
      <c r="R22" s="60">
        <f>O22*P22+Q22</f>
        <v>40</v>
      </c>
      <c r="S22" s="61" t="s">
        <v>66</v>
      </c>
      <c r="T22" s="63" t="s">
        <v>35</v>
      </c>
      <c r="U22" s="64"/>
      <c r="V22" s="64"/>
      <c r="W22" s="67">
        <f t="shared" si="0"/>
        <v>223645</v>
      </c>
      <c r="X22" s="81">
        <f>ROUND(I39,0)</f>
        <v>223645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164</v>
      </c>
      <c r="Q23" s="137"/>
      <c r="R23" s="60">
        <f>R19+R21+R22+R20</f>
        <v>348</v>
      </c>
      <c r="S23" s="61" t="s">
        <v>67</v>
      </c>
      <c r="T23" s="63" t="s">
        <v>36</v>
      </c>
      <c r="U23" s="64"/>
      <c r="V23" s="64"/>
      <c r="W23" s="67">
        <f t="shared" si="0"/>
        <v>287585</v>
      </c>
      <c r="X23" s="81">
        <v>0</v>
      </c>
      <c r="Y23" s="70">
        <v>0</v>
      </c>
      <c r="Z23" s="67">
        <f>I26+I25</f>
        <v>287585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>
      <c r="A24" s="44" t="s">
        <v>116</v>
      </c>
      <c r="B24" s="46" t="s">
        <v>117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68</v>
      </c>
      <c r="T24" s="64" t="s">
        <v>37</v>
      </c>
      <c r="U24" s="64"/>
      <c r="V24" s="64"/>
      <c r="W24" s="67">
        <f t="shared" si="0"/>
        <v>32439</v>
      </c>
      <c r="X24" s="81">
        <v>0</v>
      </c>
      <c r="Y24" s="70">
        <v>0</v>
      </c>
      <c r="Z24" s="67">
        <f>I41</f>
        <v>32439</v>
      </c>
      <c r="AA24" s="70">
        <v>0</v>
      </c>
      <c r="AB24" s="58"/>
      <c r="AC24" s="47" t="s">
        <v>87</v>
      </c>
      <c r="AD24" s="47"/>
      <c r="AE24" s="47"/>
      <c r="AF24" s="59"/>
      <c r="AG24" s="59"/>
      <c r="AH24" s="59"/>
      <c r="AI24" s="59"/>
      <c r="AJ24" s="59"/>
      <c r="AK24" s="58"/>
      <c r="AL24" s="47" t="s">
        <v>167</v>
      </c>
      <c r="AM24" s="47"/>
      <c r="AN24" s="47"/>
      <c r="AO24" s="59"/>
      <c r="AP24" s="59"/>
      <c r="AQ24" s="59"/>
      <c r="AR24" s="59"/>
      <c r="AS24" s="59"/>
      <c r="AT24" s="152" t="s">
        <v>45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>
      <c r="A25" s="48" t="s">
        <v>118</v>
      </c>
      <c r="B25" s="48" t="s">
        <v>121</v>
      </c>
      <c r="C25" s="90"/>
      <c r="D25" s="212"/>
      <c r="E25" s="212"/>
      <c r="F25" s="68"/>
      <c r="G25" s="213"/>
      <c r="H25" s="68"/>
      <c r="I25" s="68"/>
      <c r="J25" s="63" t="s">
        <v>165</v>
      </c>
      <c r="K25" s="64"/>
      <c r="L25" s="64"/>
      <c r="M25" s="64"/>
      <c r="N25" s="64"/>
      <c r="O25" s="64"/>
      <c r="P25" s="85"/>
      <c r="Q25" s="128"/>
      <c r="R25" s="141"/>
      <c r="S25" s="61" t="s">
        <v>69</v>
      </c>
      <c r="T25" s="64" t="s">
        <v>38</v>
      </c>
      <c r="U25" s="64"/>
      <c r="V25" s="64"/>
      <c r="W25" s="67">
        <f t="shared" si="0"/>
        <v>13913</v>
      </c>
      <c r="X25" s="81">
        <v>0</v>
      </c>
      <c r="Y25" s="70">
        <v>0</v>
      </c>
      <c r="Z25" s="67">
        <f>I43</f>
        <v>13913</v>
      </c>
      <c r="AA25" s="70">
        <v>0</v>
      </c>
      <c r="AB25" s="58"/>
      <c r="AC25" s="47" t="s">
        <v>270</v>
      </c>
      <c r="AD25" s="47"/>
      <c r="AE25" s="47"/>
      <c r="AF25" s="47"/>
      <c r="AG25" s="47"/>
      <c r="AH25" s="47"/>
      <c r="AI25" s="47"/>
      <c r="AJ25" s="47"/>
      <c r="AK25" s="58"/>
      <c r="AL25" s="47" t="s">
        <v>270</v>
      </c>
      <c r="AM25" s="47"/>
      <c r="AN25" s="47"/>
      <c r="AO25" s="47"/>
      <c r="AP25" s="47"/>
      <c r="AQ25" s="47"/>
      <c r="AR25" s="47"/>
      <c r="AS25" s="47"/>
      <c r="AT25" s="46" t="s">
        <v>82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>
      <c r="A26" s="49"/>
      <c r="B26" s="49" t="s">
        <v>119</v>
      </c>
      <c r="C26" s="91">
        <v>109056121</v>
      </c>
      <c r="D26" s="212">
        <v>22371.6419</v>
      </c>
      <c r="E26" s="212">
        <v>22431.5553</v>
      </c>
      <c r="F26" s="68">
        <v>4800</v>
      </c>
      <c r="G26" s="213">
        <f aca="true" t="shared" si="1" ref="G26:G43">E26-D26</f>
        <v>59.913400000001275</v>
      </c>
      <c r="H26" s="68"/>
      <c r="I26" s="236">
        <f>ROUND(F26*G26+H26,0)+1</f>
        <v>287585</v>
      </c>
      <c r="J26" s="114" t="s">
        <v>290</v>
      </c>
      <c r="K26" s="115"/>
      <c r="L26" s="115"/>
      <c r="M26" s="86"/>
      <c r="N26" s="53"/>
      <c r="O26" s="53"/>
      <c r="P26" s="53"/>
      <c r="Q26" s="53"/>
      <c r="R26" s="102"/>
      <c r="S26" s="62" t="s">
        <v>70</v>
      </c>
      <c r="T26" s="53" t="s">
        <v>39</v>
      </c>
      <c r="U26" s="53"/>
      <c r="V26" s="53"/>
      <c r="W26" s="68">
        <f>SUM(X26:AA26)</f>
        <v>7852</v>
      </c>
      <c r="X26" s="82">
        <v>0</v>
      </c>
      <c r="Y26" s="71">
        <v>0</v>
      </c>
      <c r="Z26" s="68">
        <f>I45+I46</f>
        <v>7852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83</v>
      </c>
      <c r="AU26" s="55"/>
      <c r="AV26" s="55"/>
      <c r="AW26" s="55"/>
      <c r="AX26" s="64"/>
      <c r="AY26" s="65"/>
      <c r="AZ26" s="185">
        <f>(X14+AG14+AP14)/1000</f>
        <v>2651.288</v>
      </c>
      <c r="BA26" s="169">
        <v>16</v>
      </c>
      <c r="BB26" s="174">
        <f>AZ26*BA26</f>
        <v>42420.608</v>
      </c>
    </row>
    <row r="27" spans="1:54" ht="12.75">
      <c r="A27" s="48" t="s">
        <v>120</v>
      </c>
      <c r="B27" s="48" t="s">
        <v>132</v>
      </c>
      <c r="C27" s="90">
        <v>623125232</v>
      </c>
      <c r="D27" s="214">
        <v>9524.4701</v>
      </c>
      <c r="E27" s="214">
        <v>9591.2387</v>
      </c>
      <c r="F27" s="75">
        <v>1800</v>
      </c>
      <c r="G27" s="215">
        <f t="shared" si="1"/>
        <v>66.76859999999942</v>
      </c>
      <c r="H27" s="73"/>
      <c r="I27" s="75">
        <f>ROUND(G27*F27,0)</f>
        <v>120183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84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>
      <c r="A28" s="49"/>
      <c r="B28" s="49" t="s">
        <v>119</v>
      </c>
      <c r="C28" s="71"/>
      <c r="D28" s="119"/>
      <c r="E28" s="119"/>
      <c r="F28" s="68"/>
      <c r="G28" s="118"/>
      <c r="H28" s="71"/>
      <c r="I28" s="68"/>
      <c r="J28" s="64" t="s">
        <v>168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224</v>
      </c>
      <c r="AC28" s="47"/>
      <c r="AD28" s="47"/>
      <c r="AE28" s="47"/>
      <c r="AF28" s="47"/>
      <c r="AG28" s="47" t="s">
        <v>225</v>
      </c>
      <c r="AH28" s="47"/>
      <c r="AI28" s="47" t="s">
        <v>226</v>
      </c>
      <c r="AJ28" s="47"/>
      <c r="AK28" s="47" t="s">
        <v>224</v>
      </c>
      <c r="AL28" s="47"/>
      <c r="AM28" s="47"/>
      <c r="AN28" s="47"/>
      <c r="AO28" s="47"/>
      <c r="AP28" s="47" t="s">
        <v>56</v>
      </c>
      <c r="AQ28" s="47"/>
      <c r="AR28" s="47" t="s">
        <v>57</v>
      </c>
      <c r="AS28" s="47"/>
      <c r="AT28" s="63" t="s">
        <v>85</v>
      </c>
      <c r="AU28" s="64"/>
      <c r="AV28" s="64"/>
      <c r="AW28" s="64"/>
      <c r="AX28" s="51"/>
      <c r="AY28" s="52"/>
      <c r="AZ28" s="185">
        <f>(Z14+AI14+AR14)/1000</f>
        <v>392.341</v>
      </c>
      <c r="BA28" s="169">
        <v>16</v>
      </c>
      <c r="BB28" s="174">
        <f>AZ28*BA28</f>
        <v>6277.456</v>
      </c>
    </row>
    <row r="29" spans="1:54" ht="12.75">
      <c r="A29" s="48" t="s">
        <v>122</v>
      </c>
      <c r="B29" s="48" t="s">
        <v>133</v>
      </c>
      <c r="C29" s="90">
        <v>623125667</v>
      </c>
      <c r="D29" s="214">
        <v>12055.0226</v>
      </c>
      <c r="E29" s="214">
        <v>12133.7831</v>
      </c>
      <c r="F29" s="75">
        <v>1800</v>
      </c>
      <c r="G29" s="215">
        <f t="shared" si="1"/>
        <v>78.76050000000032</v>
      </c>
      <c r="H29" s="73"/>
      <c r="I29" s="75">
        <f>ROUND(G29*F29,0)</f>
        <v>141769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291</v>
      </c>
      <c r="AC29" s="47"/>
      <c r="AD29" s="47"/>
      <c r="AE29" s="47"/>
      <c r="AF29" s="47"/>
      <c r="AG29" s="47" t="s">
        <v>55</v>
      </c>
      <c r="AH29" s="47"/>
      <c r="AI29" s="47"/>
      <c r="AJ29" s="47"/>
      <c r="AK29" s="47" t="s">
        <v>291</v>
      </c>
      <c r="AL29" s="47"/>
      <c r="AM29" s="47"/>
      <c r="AN29" s="47"/>
      <c r="AO29" s="47"/>
      <c r="AP29" s="47" t="s">
        <v>55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>
      <c r="A30" s="49"/>
      <c r="B30" s="49" t="s">
        <v>119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>
      <c r="A31" s="48" t="s">
        <v>123</v>
      </c>
      <c r="B31" s="48" t="s">
        <v>134</v>
      </c>
      <c r="C31" s="90">
        <v>623126370</v>
      </c>
      <c r="D31" s="214">
        <v>3217.0999</v>
      </c>
      <c r="E31" s="214">
        <v>3261.1157</v>
      </c>
      <c r="F31" s="75">
        <v>4800</v>
      </c>
      <c r="G31" s="215">
        <f t="shared" si="1"/>
        <v>44.01579999999967</v>
      </c>
      <c r="H31" s="73"/>
      <c r="I31" s="75">
        <f>ROUND(G31*F31,0)</f>
        <v>211276</v>
      </c>
      <c r="J31" s="64"/>
      <c r="K31" s="64"/>
      <c r="L31" s="154"/>
      <c r="M31" s="78"/>
      <c r="N31" s="155" t="s">
        <v>169</v>
      </c>
      <c r="O31" s="155"/>
      <c r="P31" s="83"/>
      <c r="Q31" s="64"/>
      <c r="R31" s="85"/>
      <c r="S31" s="47" t="s">
        <v>224</v>
      </c>
      <c r="T31" s="47"/>
      <c r="U31" s="47"/>
      <c r="V31" s="47"/>
      <c r="W31" s="47"/>
      <c r="X31" s="47" t="s">
        <v>225</v>
      </c>
      <c r="Y31" s="47"/>
      <c r="Z31" s="47" t="s">
        <v>226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>
      <c r="A32" s="49"/>
      <c r="B32" s="49" t="s">
        <v>119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266</v>
      </c>
      <c r="O32" s="155"/>
      <c r="P32" s="83"/>
      <c r="Q32" s="64"/>
      <c r="R32" s="85"/>
      <c r="S32" s="47" t="s">
        <v>291</v>
      </c>
      <c r="T32" s="47"/>
      <c r="U32" s="47"/>
      <c r="V32" s="47"/>
      <c r="W32" s="47"/>
      <c r="X32" s="47" t="s">
        <v>55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222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>
      <c r="A33" s="48" t="s">
        <v>124</v>
      </c>
      <c r="B33" s="48" t="s">
        <v>135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291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54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220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>
      <c r="A34" s="49"/>
      <c r="B34" s="49" t="s">
        <v>119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54</v>
      </c>
      <c r="AL34" s="47"/>
      <c r="AM34" s="47"/>
      <c r="AN34" s="47"/>
      <c r="AO34" s="47"/>
      <c r="AP34" s="47"/>
      <c r="AQ34" s="47"/>
      <c r="AR34" s="47"/>
      <c r="AS34" s="47"/>
      <c r="AT34" s="50" t="s">
        <v>223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>
      <c r="A35" s="48" t="s">
        <v>125</v>
      </c>
      <c r="B35" s="48" t="s">
        <v>136</v>
      </c>
      <c r="C35" s="90">
        <v>623125142</v>
      </c>
      <c r="D35" s="214">
        <v>15903.5942</v>
      </c>
      <c r="E35" s="214">
        <v>16016.4922</v>
      </c>
      <c r="F35" s="75">
        <v>2400</v>
      </c>
      <c r="G35" s="215">
        <f t="shared" si="1"/>
        <v>112.89800000000105</v>
      </c>
      <c r="H35" s="73"/>
      <c r="I35" s="75">
        <f>ROUND(G35*F35,0)</f>
        <v>270955</v>
      </c>
      <c r="J35" s="64"/>
      <c r="K35" s="64"/>
      <c r="L35" s="154"/>
      <c r="M35" s="78"/>
      <c r="N35" s="156" t="s">
        <v>171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71</v>
      </c>
      <c r="AC35" s="47"/>
      <c r="AD35" s="47"/>
      <c r="AE35" s="47"/>
      <c r="AF35" s="47"/>
      <c r="AG35" s="47" t="s">
        <v>41</v>
      </c>
      <c r="AH35" s="47"/>
      <c r="AI35" s="47" t="s">
        <v>40</v>
      </c>
      <c r="AJ35" s="47"/>
      <c r="AK35" s="47" t="s">
        <v>227</v>
      </c>
      <c r="AL35" s="47"/>
      <c r="AM35" s="47"/>
      <c r="AN35" s="47"/>
      <c r="AO35" s="47"/>
      <c r="AP35" s="47"/>
      <c r="AQ35" s="47" t="s">
        <v>228</v>
      </c>
      <c r="AR35" s="47"/>
      <c r="AS35" s="47"/>
      <c r="AT35" s="50" t="s">
        <v>220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>
      <c r="A36" s="49"/>
      <c r="B36" s="49" t="s">
        <v>119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170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86</v>
      </c>
      <c r="AC36" s="47"/>
      <c r="AD36" s="47"/>
      <c r="AE36" s="47"/>
      <c r="AF36" s="47"/>
      <c r="AG36" s="47" t="s">
        <v>55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55</v>
      </c>
      <c r="AR36" s="47"/>
      <c r="AS36" s="47"/>
      <c r="AT36" s="50" t="s">
        <v>220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>
      <c r="A37" s="48" t="s">
        <v>126</v>
      </c>
      <c r="B37" s="48" t="s">
        <v>137</v>
      </c>
      <c r="C37" s="90">
        <v>623125205</v>
      </c>
      <c r="D37" s="214">
        <v>5828.7114</v>
      </c>
      <c r="E37" s="214">
        <v>5894.6713</v>
      </c>
      <c r="F37" s="75">
        <v>1800</v>
      </c>
      <c r="G37" s="215">
        <f t="shared" si="1"/>
        <v>65.95989999999983</v>
      </c>
      <c r="H37" s="73"/>
      <c r="I37" s="234">
        <f>ROUND(G37*F37,0)-1</f>
        <v>118727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286</v>
      </c>
      <c r="T37" s="47"/>
      <c r="U37" s="47"/>
      <c r="V37" s="47"/>
      <c r="W37" s="47"/>
      <c r="X37" s="47" t="s">
        <v>225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185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>
      <c r="A38" s="49"/>
      <c r="B38" s="49" t="s">
        <v>119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55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220</v>
      </c>
      <c r="AU38" s="51"/>
      <c r="AV38" s="51" t="s">
        <v>25</v>
      </c>
      <c r="AW38" s="51"/>
      <c r="AX38" s="51"/>
      <c r="AY38" s="52"/>
      <c r="AZ38" s="170"/>
      <c r="BA38" s="182"/>
      <c r="BB38" s="169"/>
    </row>
    <row r="39" spans="1:54" ht="12.75">
      <c r="A39" s="48" t="s">
        <v>127</v>
      </c>
      <c r="B39" s="48" t="s">
        <v>138</v>
      </c>
      <c r="C39" s="90">
        <v>623123704</v>
      </c>
      <c r="D39" s="214">
        <v>10529.5737</v>
      </c>
      <c r="E39" s="214">
        <v>10653.8207</v>
      </c>
      <c r="F39" s="75">
        <v>1800</v>
      </c>
      <c r="G39" s="215">
        <f t="shared" si="1"/>
        <v>124.24699999999939</v>
      </c>
      <c r="H39" s="73"/>
      <c r="I39" s="75">
        <f>ROUND(G39*F39,0)</f>
        <v>223645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221</v>
      </c>
      <c r="AU39" s="51"/>
      <c r="AV39" s="51" t="s">
        <v>218</v>
      </c>
      <c r="AW39" s="51"/>
      <c r="AX39" s="51"/>
      <c r="AY39" s="52"/>
      <c r="AZ39" s="170"/>
      <c r="BA39" s="182"/>
      <c r="BB39" s="169"/>
    </row>
    <row r="40" spans="1:54" ht="12.75">
      <c r="A40" s="49"/>
      <c r="B40" s="49" t="s">
        <v>119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>
      <c r="A41" s="48" t="s">
        <v>128</v>
      </c>
      <c r="B41" s="48" t="s">
        <v>139</v>
      </c>
      <c r="C41" s="90">
        <v>623125794</v>
      </c>
      <c r="D41" s="214">
        <v>269.8025</v>
      </c>
      <c r="E41" s="214">
        <v>287.8241</v>
      </c>
      <c r="F41" s="75">
        <v>1800</v>
      </c>
      <c r="G41" s="215">
        <f t="shared" si="1"/>
        <v>18.021599999999978</v>
      </c>
      <c r="H41" s="73"/>
      <c r="I41" s="75">
        <f>ROUND(G41*F41,0)</f>
        <v>32439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>
      <c r="A42" s="49"/>
      <c r="B42" s="49" t="s">
        <v>119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>
      <c r="A43" s="48" t="s">
        <v>129</v>
      </c>
      <c r="B43" s="48" t="s">
        <v>140</v>
      </c>
      <c r="C43" s="90">
        <v>623125736</v>
      </c>
      <c r="D43" s="214">
        <v>5324.0198</v>
      </c>
      <c r="E43" s="214">
        <v>5335.6047</v>
      </c>
      <c r="F43" s="75">
        <v>1200</v>
      </c>
      <c r="G43" s="215">
        <f t="shared" si="1"/>
        <v>11.584899999999834</v>
      </c>
      <c r="H43" s="73"/>
      <c r="I43" s="234">
        <f>ROUND(G43*F43,0)+11</f>
        <v>13913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185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>
      <c r="A44" s="49"/>
      <c r="B44" s="49" t="s">
        <v>119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>
      <c r="A45" s="48" t="s">
        <v>130</v>
      </c>
      <c r="B45" s="50" t="s">
        <v>131</v>
      </c>
      <c r="C45" s="90">
        <v>1110171156</v>
      </c>
      <c r="D45" s="214">
        <v>18056.3224</v>
      </c>
      <c r="E45" s="214">
        <v>18252.6288</v>
      </c>
      <c r="F45" s="75">
        <v>40</v>
      </c>
      <c r="G45" s="215">
        <f>E45-D45</f>
        <v>196.30639999999767</v>
      </c>
      <c r="H45" s="73"/>
      <c r="I45" s="75">
        <f>ROUND(G45*F45,0)</f>
        <v>7852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>
      <c r="A46" s="49"/>
      <c r="B46" s="46" t="s">
        <v>119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189</v>
      </c>
      <c r="AW46" s="51"/>
      <c r="AX46" s="51"/>
      <c r="AY46" s="52"/>
      <c r="AZ46" s="170"/>
      <c r="BA46" s="187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141</v>
      </c>
      <c r="H47" s="56"/>
      <c r="I47" s="125">
        <f>ROUND((SUM(I25:I46)+I20),0)</f>
        <v>2840872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>
      <c r="A48" s="48" t="s">
        <v>144</v>
      </c>
      <c r="B48" s="50" t="s">
        <v>142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>
      <c r="A49" s="74"/>
      <c r="B49" s="63" t="s">
        <v>143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189</v>
      </c>
      <c r="AW49" s="51"/>
      <c r="AX49" s="51"/>
      <c r="AY49" s="52"/>
      <c r="AZ49" s="170"/>
      <c r="BA49" s="182"/>
      <c r="BB49" s="169"/>
    </row>
    <row r="50" spans="1:54" ht="12.75">
      <c r="A50" s="50" t="s">
        <v>145</v>
      </c>
      <c r="B50" s="48" t="s">
        <v>235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271</v>
      </c>
      <c r="AW50" s="55"/>
      <c r="AX50" s="55"/>
      <c r="AY50" s="56"/>
      <c r="AZ50" s="170"/>
      <c r="BA50" s="182"/>
      <c r="BB50" s="169"/>
    </row>
    <row r="51" spans="1:54" ht="12.75">
      <c r="A51" s="63"/>
      <c r="B51" s="74"/>
      <c r="C51" s="194">
        <v>611127627</v>
      </c>
      <c r="D51" s="191">
        <v>6576.4764</v>
      </c>
      <c r="E51" s="191">
        <v>6610.1036</v>
      </c>
      <c r="F51" s="60">
        <v>40</v>
      </c>
      <c r="G51" s="142">
        <f>E51-D51</f>
        <v>33.62720000000081</v>
      </c>
      <c r="H51" s="60"/>
      <c r="I51" s="60">
        <f>ROUND(F51*G51+H51,0)</f>
        <v>1345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231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148</v>
      </c>
      <c r="B53" s="65"/>
      <c r="C53" s="106">
        <v>810120245</v>
      </c>
      <c r="D53" s="191">
        <v>3808.4329</v>
      </c>
      <c r="E53" s="191">
        <v>3810.929</v>
      </c>
      <c r="F53" s="60">
        <v>3600</v>
      </c>
      <c r="G53" s="142">
        <f>E53-D53</f>
        <v>2.496100000000297</v>
      </c>
      <c r="H53" s="60"/>
      <c r="I53" s="60">
        <f>ROUND(F53*G53+H53,0)</f>
        <v>8986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314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245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4605.8075</v>
      </c>
      <c r="E55" s="121">
        <v>4645.5784</v>
      </c>
      <c r="F55" s="60">
        <v>3600</v>
      </c>
      <c r="G55" s="143">
        <f>E55-D55</f>
        <v>39.77090000000044</v>
      </c>
      <c r="H55" s="44"/>
      <c r="I55" s="60">
        <f>ROUND(F55*G55+H55,0)</f>
        <v>143175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149</v>
      </c>
      <c r="B57" s="48" t="s">
        <v>115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6"/>
      <c r="B58" s="74" t="s">
        <v>114</v>
      </c>
      <c r="C58" s="194">
        <v>611127492</v>
      </c>
      <c r="D58" s="191">
        <v>22967.6644</v>
      </c>
      <c r="E58" s="191">
        <v>23105.5468</v>
      </c>
      <c r="F58" s="60">
        <v>20</v>
      </c>
      <c r="G58" s="142">
        <f>E58-D58</f>
        <v>137.8823999999986</v>
      </c>
      <c r="H58" s="60"/>
      <c r="I58" s="60">
        <f>ROUND(F58*G58+H58,0)</f>
        <v>2758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49</v>
      </c>
      <c r="AW58" s="47"/>
      <c r="AX58" s="47"/>
      <c r="AY58" s="47"/>
      <c r="AZ58" s="47"/>
      <c r="BA58" s="47"/>
      <c r="BB58" s="162">
        <f>BA9</f>
        <v>3.5279782100263235</v>
      </c>
    </row>
    <row r="59" spans="1:54" ht="12.75">
      <c r="A59" s="50" t="s">
        <v>150</v>
      </c>
      <c r="B59" s="48" t="s">
        <v>236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7"/>
      <c r="B60" s="70" t="s">
        <v>281</v>
      </c>
      <c r="C60" s="194">
        <v>611127702</v>
      </c>
      <c r="D60" s="191">
        <v>33736.516</v>
      </c>
      <c r="E60" s="191">
        <v>34060.586</v>
      </c>
      <c r="F60" s="60">
        <v>60</v>
      </c>
      <c r="G60" s="142">
        <f>E60-D60</f>
        <v>324.0699999999997</v>
      </c>
      <c r="H60" s="44"/>
      <c r="I60" s="60">
        <f>ROUND(F60*G60+H60,0)</f>
        <v>19444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282</v>
      </c>
      <c r="C61" s="194">
        <v>611127555</v>
      </c>
      <c r="D61" s="191">
        <v>14948.5748</v>
      </c>
      <c r="E61" s="191">
        <v>15327.0976</v>
      </c>
      <c r="F61" s="60">
        <v>60</v>
      </c>
      <c r="G61" s="142">
        <f>E61-D61</f>
        <v>378.5227999999988</v>
      </c>
      <c r="H61" s="44"/>
      <c r="I61" s="60">
        <f>ROUND(F61*G61+H61,0)</f>
        <v>22711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151</v>
      </c>
      <c r="B62" s="48" t="s">
        <v>237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7"/>
      <c r="B63" s="74"/>
      <c r="C63" s="194">
        <v>1110171163</v>
      </c>
      <c r="D63" s="191">
        <v>1413.5748</v>
      </c>
      <c r="E63" s="191">
        <v>1417.8284</v>
      </c>
      <c r="F63" s="60">
        <v>60</v>
      </c>
      <c r="G63" s="142">
        <f>E63-D63</f>
        <v>4.253600000000006</v>
      </c>
      <c r="H63" s="44"/>
      <c r="I63" s="233">
        <f>ROUND(F63*G63+H63,0)+1</f>
        <v>256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152</v>
      </c>
      <c r="B65" s="48" t="s">
        <v>238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4">
        <v>1110171170</v>
      </c>
      <c r="D66" s="191">
        <v>218.7696</v>
      </c>
      <c r="E66" s="191">
        <v>222.3076</v>
      </c>
      <c r="F66" s="60">
        <v>40</v>
      </c>
      <c r="G66" s="142">
        <f>E66-D66</f>
        <v>3.538000000000011</v>
      </c>
      <c r="H66" s="60"/>
      <c r="I66" s="60">
        <f>ROUND(F66*G66+H66,0)</f>
        <v>142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153</v>
      </c>
      <c r="B68" s="48" t="s">
        <v>283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284</v>
      </c>
      <c r="C69" s="194">
        <v>611126404</v>
      </c>
      <c r="D69" s="191">
        <v>637.1961</v>
      </c>
      <c r="E69" s="191">
        <v>639.4267</v>
      </c>
      <c r="F69" s="60">
        <v>1800</v>
      </c>
      <c r="G69" s="142">
        <f>E69-D69</f>
        <v>2.2305999999999813</v>
      </c>
      <c r="H69" s="60"/>
      <c r="I69" s="233">
        <f>ROUND((F69*G69+H69),0)+5</f>
        <v>4020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247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233</v>
      </c>
      <c r="B71" s="74" t="s">
        <v>239</v>
      </c>
      <c r="C71" s="194">
        <v>611127724</v>
      </c>
      <c r="D71" s="191">
        <v>2095.756</v>
      </c>
      <c r="E71" s="191">
        <v>2108.7696</v>
      </c>
      <c r="F71" s="60">
        <v>30</v>
      </c>
      <c r="G71" s="142">
        <f>E71-D71</f>
        <v>13.013600000000224</v>
      </c>
      <c r="H71" s="60"/>
      <c r="I71" s="60">
        <f>ROUND(F71*G71+H71,0)</f>
        <v>390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277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154</v>
      </c>
      <c r="G74" s="55"/>
      <c r="H74" s="56"/>
      <c r="I74" s="125">
        <f>ROUND((SUM(I50:I69)-I73),0)</f>
        <v>202837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155</v>
      </c>
      <c r="H75" s="56"/>
      <c r="I75" s="125">
        <f>ROUND((I18+I20-I47-I74),0)</f>
        <v>6306166</v>
      </c>
      <c r="J75" s="64"/>
      <c r="K75" s="64">
        <f>I18+I20+I22-I47-I74</f>
        <v>6376890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162</v>
      </c>
      <c r="B76" s="45" t="s">
        <v>156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160</v>
      </c>
      <c r="B77" s="48" t="s">
        <v>157</v>
      </c>
      <c r="C77" s="73">
        <v>18705639</v>
      </c>
      <c r="D77" s="124">
        <v>20006.3</v>
      </c>
      <c r="E77" s="124">
        <v>20161</v>
      </c>
      <c r="F77" s="75">
        <v>30</v>
      </c>
      <c r="G77" s="211">
        <f>E77-D77</f>
        <v>154.70000000000073</v>
      </c>
      <c r="H77" s="48">
        <v>1297</v>
      </c>
      <c r="I77" s="75">
        <f>F77*G77+H77</f>
        <v>5938.000000000022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158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161</v>
      </c>
      <c r="B79" s="48" t="s">
        <v>159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158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163</v>
      </c>
      <c r="G81" s="111"/>
      <c r="H81" s="56"/>
      <c r="I81" s="60">
        <f>I77+I79</f>
        <v>5938.000000000022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164</v>
      </c>
      <c r="H82" s="56"/>
      <c r="I82" s="125">
        <f>I75+I81</f>
        <v>6312104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165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290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168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2" t="s">
        <v>169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2" t="s">
        <v>268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2" t="s">
        <v>291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90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267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91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272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206</v>
      </c>
      <c r="AZ91" s="89" t="s">
        <v>295</v>
      </c>
      <c r="BA91" s="47"/>
      <c r="BB91" s="47"/>
    </row>
    <row r="92" spans="1:54" ht="12.75">
      <c r="A92" s="47"/>
      <c r="B92" s="47"/>
      <c r="C92" s="47" t="s">
        <v>92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26</v>
      </c>
      <c r="AU92" s="55"/>
      <c r="AV92" s="55"/>
      <c r="AW92" s="55"/>
      <c r="AX92" s="55"/>
      <c r="AY92" s="56"/>
      <c r="AZ92" s="44" t="s">
        <v>75</v>
      </c>
      <c r="BA92" s="44"/>
      <c r="BB92" s="44" t="s">
        <v>27</v>
      </c>
    </row>
    <row r="93" spans="1:54" ht="12.75">
      <c r="A93" s="47"/>
      <c r="B93" s="47"/>
      <c r="C93" s="47"/>
      <c r="D93" s="167" t="s">
        <v>312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182</v>
      </c>
      <c r="AU93" s="55"/>
      <c r="AV93" s="55"/>
      <c r="AW93" s="55"/>
      <c r="AX93" s="55"/>
      <c r="AY93" s="56"/>
      <c r="AZ93" s="125">
        <v>58518</v>
      </c>
      <c r="BA93" s="92"/>
      <c r="BB93" s="188">
        <f>AZ93*BB58</f>
        <v>206450.2288943204</v>
      </c>
    </row>
    <row r="94" spans="1:54" ht="12.75">
      <c r="A94" s="47" t="s">
        <v>265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181</v>
      </c>
      <c r="AU94" s="55"/>
      <c r="AV94" s="55"/>
      <c r="AW94" s="55"/>
      <c r="AX94" s="55"/>
      <c r="AY94" s="56"/>
      <c r="AZ94" s="125">
        <f>AZ131-SUM(AZ112:AZ120)-AZ109-AZ103-AZ96-AZ95-AZ93</f>
        <v>5229131</v>
      </c>
      <c r="BA94" s="92"/>
      <c r="BB94" s="188">
        <f>AZ94*BB58</f>
        <v>18448260.22537316</v>
      </c>
    </row>
    <row r="95" spans="1:54" ht="12.75">
      <c r="A95" s="47" t="s">
        <v>93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274</v>
      </c>
      <c r="AU95" s="55"/>
      <c r="AV95" s="55"/>
      <c r="AW95" s="55"/>
      <c r="AX95" s="55"/>
      <c r="AY95" s="56"/>
      <c r="AZ95" s="125">
        <v>79295</v>
      </c>
      <c r="BA95" s="92"/>
      <c r="BB95" s="188">
        <f>AZ95*BB58</f>
        <v>279751.03216403734</v>
      </c>
    </row>
    <row r="96" spans="1:54" ht="12.75">
      <c r="A96" s="47" t="s">
        <v>95</v>
      </c>
      <c r="B96" s="47"/>
      <c r="C96" s="47"/>
      <c r="D96" s="47"/>
      <c r="E96" s="47"/>
      <c r="F96" s="47" t="s">
        <v>94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17</v>
      </c>
      <c r="AU96" s="51"/>
      <c r="AV96" s="51"/>
      <c r="AW96" s="51"/>
      <c r="AX96" s="51"/>
      <c r="AY96" s="52"/>
      <c r="AZ96" s="189">
        <f>SUM(AZ97:AZ102)</f>
        <v>795800</v>
      </c>
      <c r="BA96" s="95"/>
      <c r="BB96" s="188">
        <f>AZ96*BB58</f>
        <v>2807565.0595389483</v>
      </c>
    </row>
    <row r="97" spans="1:54" ht="12.75">
      <c r="A97" s="48" t="s">
        <v>190</v>
      </c>
      <c r="B97" s="73" t="s">
        <v>96</v>
      </c>
      <c r="C97" s="48" t="s">
        <v>97</v>
      </c>
      <c r="D97" s="116" t="s">
        <v>172</v>
      </c>
      <c r="E97" s="117"/>
      <c r="F97" s="48" t="s">
        <v>98</v>
      </c>
      <c r="G97" s="48" t="s">
        <v>213</v>
      </c>
      <c r="H97" s="48" t="s">
        <v>99</v>
      </c>
      <c r="I97" s="48" t="s">
        <v>89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18</v>
      </c>
      <c r="AU97" s="64"/>
      <c r="AV97" s="64"/>
      <c r="AW97" s="64"/>
      <c r="AX97" s="64"/>
      <c r="AY97" s="65"/>
      <c r="AZ97" s="67">
        <v>238362</v>
      </c>
      <c r="BA97" s="78"/>
      <c r="BB97" s="188">
        <f>AZ97*BB58</f>
        <v>840935.9420982945</v>
      </c>
    </row>
    <row r="98" spans="1:54" ht="12.75">
      <c r="A98" s="74"/>
      <c r="B98" s="74"/>
      <c r="C98" s="74"/>
      <c r="D98" s="48" t="s">
        <v>100</v>
      </c>
      <c r="E98" s="50" t="s">
        <v>101</v>
      </c>
      <c r="F98" s="74" t="s">
        <v>102</v>
      </c>
      <c r="G98" s="74" t="s">
        <v>88</v>
      </c>
      <c r="H98" s="74"/>
      <c r="I98" s="74" t="s">
        <v>103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19</v>
      </c>
      <c r="AU98" s="64"/>
      <c r="AV98" s="64"/>
      <c r="AW98" s="64"/>
      <c r="AX98" s="64"/>
      <c r="AY98" s="65"/>
      <c r="AZ98" s="67">
        <v>430093</v>
      </c>
      <c r="BA98" s="78"/>
      <c r="BB98" s="188">
        <f>AZ98*BB58</f>
        <v>1517358.7322848516</v>
      </c>
    </row>
    <row r="99" spans="1:54" ht="12.75">
      <c r="A99" s="49"/>
      <c r="B99" s="49"/>
      <c r="C99" s="49"/>
      <c r="D99" s="49" t="s">
        <v>104</v>
      </c>
      <c r="E99" s="46" t="s">
        <v>104</v>
      </c>
      <c r="F99" s="49" t="s">
        <v>105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20</v>
      </c>
      <c r="AU99" s="64"/>
      <c r="AV99" s="64"/>
      <c r="AW99" s="64"/>
      <c r="AX99" s="64"/>
      <c r="AY99" s="65"/>
      <c r="AZ99" s="67">
        <v>124175</v>
      </c>
      <c r="BA99" s="78"/>
      <c r="BB99" s="188">
        <f>AZ99*BB58</f>
        <v>438086.6942300187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21</v>
      </c>
      <c r="AU100" s="64"/>
      <c r="AV100" s="64"/>
      <c r="AW100" s="64"/>
      <c r="AX100" s="64"/>
      <c r="AY100" s="65"/>
      <c r="AZ100" s="67">
        <v>250</v>
      </c>
      <c r="BA100" s="78"/>
      <c r="BB100" s="188">
        <f>AZ100*BB58</f>
        <v>881.9945525065809</v>
      </c>
    </row>
    <row r="101" spans="1:54" ht="12.75">
      <c r="A101" s="46"/>
      <c r="B101" s="53"/>
      <c r="C101" s="209" t="s">
        <v>173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22</v>
      </c>
      <c r="AU101" s="64"/>
      <c r="AV101" s="64"/>
      <c r="AW101" s="64"/>
      <c r="AX101" s="64"/>
      <c r="AY101" s="65"/>
      <c r="AZ101" s="67">
        <v>1920</v>
      </c>
      <c r="BA101" s="78"/>
      <c r="BB101" s="188">
        <f>AZ101*BB58</f>
        <v>6773.718163250541</v>
      </c>
    </row>
    <row r="102" spans="1:54" ht="12.75">
      <c r="A102" s="44"/>
      <c r="B102" s="45" t="s">
        <v>264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3527.9782100263237</v>
      </c>
    </row>
    <row r="103" spans="1:54" ht="12.75">
      <c r="A103" s="73">
        <v>1</v>
      </c>
      <c r="B103" s="48" t="s">
        <v>146</v>
      </c>
      <c r="C103" s="90">
        <v>804152757</v>
      </c>
      <c r="D103" s="121">
        <v>2710.0277</v>
      </c>
      <c r="E103" s="121">
        <v>2755.5236</v>
      </c>
      <c r="F103" s="60">
        <v>36000</v>
      </c>
      <c r="G103" s="142">
        <f>E103-D103</f>
        <v>45.49589999999989</v>
      </c>
      <c r="H103" s="44"/>
      <c r="I103" s="60">
        <f>F103*G103+H103</f>
        <v>1637852.3999999962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183</v>
      </c>
      <c r="AU103" s="51"/>
      <c r="AV103" s="51"/>
      <c r="AW103" s="51"/>
      <c r="AX103" s="51"/>
      <c r="AY103" s="52"/>
      <c r="AZ103" s="189">
        <f>SUM(AZ104:AZ108)</f>
        <v>9920</v>
      </c>
      <c r="BA103" s="95"/>
      <c r="BB103" s="188">
        <f>AZ103*BB58</f>
        <v>34997.54384346113</v>
      </c>
    </row>
    <row r="104" spans="1:54" ht="12.75">
      <c r="A104" s="49"/>
      <c r="B104" s="46" t="s">
        <v>147</v>
      </c>
      <c r="C104" s="106">
        <v>109054169</v>
      </c>
      <c r="D104" s="121">
        <v>3317.2725</v>
      </c>
      <c r="E104" s="121">
        <v>3381.3369</v>
      </c>
      <c r="F104" s="60">
        <v>36000</v>
      </c>
      <c r="G104" s="142">
        <f>E104-D104</f>
        <v>64.06439999999975</v>
      </c>
      <c r="H104" s="44"/>
      <c r="I104" s="60">
        <f>F104*G104+H104</f>
        <v>2306318.399999991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208</v>
      </c>
      <c r="AV104" s="64"/>
      <c r="AW104" s="64"/>
      <c r="AX104" s="64"/>
      <c r="AY104" s="65"/>
      <c r="AZ104" s="67">
        <v>1920</v>
      </c>
      <c r="BA104" s="78"/>
      <c r="BB104" s="188">
        <f>AZ104*BB58</f>
        <v>6773.718163250541</v>
      </c>
    </row>
    <row r="105" spans="1:54" ht="12.75">
      <c r="A105" s="45"/>
      <c r="B105" s="55"/>
      <c r="C105" s="53"/>
      <c r="D105" s="55"/>
      <c r="E105" s="55"/>
      <c r="F105" s="107" t="s">
        <v>109</v>
      </c>
      <c r="G105" s="55"/>
      <c r="H105" s="56"/>
      <c r="I105" s="60">
        <f>I103+I104</f>
        <v>3944170.7999999872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204</v>
      </c>
      <c r="AU105" s="64"/>
      <c r="AV105" s="64" t="s">
        <v>184</v>
      </c>
      <c r="AW105" s="64"/>
      <c r="AX105" s="64"/>
      <c r="AY105" s="65"/>
      <c r="AZ105" s="67">
        <v>5040</v>
      </c>
      <c r="BA105" s="78"/>
      <c r="BB105" s="188">
        <f>AZ105*BB58</f>
        <v>17781.01017853267</v>
      </c>
    </row>
    <row r="106" spans="1:54" ht="12.75">
      <c r="A106" s="44" t="s">
        <v>110</v>
      </c>
      <c r="B106" s="45" t="s">
        <v>111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204</v>
      </c>
      <c r="AU106" s="64"/>
      <c r="AV106" s="64" t="s">
        <v>209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>
      <c r="A107" s="44" t="s">
        <v>112</v>
      </c>
      <c r="B107" s="44" t="s">
        <v>113</v>
      </c>
      <c r="C107" s="106">
        <v>109053225</v>
      </c>
      <c r="D107" s="121">
        <v>7994.7851</v>
      </c>
      <c r="E107" s="121">
        <v>8029.0702</v>
      </c>
      <c r="F107" s="60">
        <v>21000</v>
      </c>
      <c r="G107" s="142">
        <f>E107-D107</f>
        <v>34.28510000000006</v>
      </c>
      <c r="H107" s="44"/>
      <c r="I107" s="60">
        <f>F107*G107+H107</f>
        <v>719987.1000000011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210</v>
      </c>
      <c r="AW107" s="64"/>
      <c r="AX107" s="64"/>
      <c r="AY107" s="64"/>
      <c r="AZ107" s="67">
        <v>140</v>
      </c>
      <c r="BA107" s="70"/>
      <c r="BB107" s="188">
        <f>AZ107*BB58</f>
        <v>493.9169494036853</v>
      </c>
    </row>
    <row r="108" spans="1:54" ht="12.75">
      <c r="A108" s="44" t="s">
        <v>259</v>
      </c>
      <c r="B108" s="55" t="s">
        <v>262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60</v>
      </c>
      <c r="AU108" s="53"/>
      <c r="AV108" s="101"/>
      <c r="AW108" s="101"/>
      <c r="AX108" s="53"/>
      <c r="AY108" s="54"/>
      <c r="AZ108" s="68">
        <v>2820</v>
      </c>
      <c r="BA108" s="86"/>
      <c r="BB108" s="188">
        <f>AZ108*BB58</f>
        <v>9948.898552274231</v>
      </c>
    </row>
    <row r="109" spans="1:54" ht="12.75">
      <c r="A109" s="44" t="s">
        <v>260</v>
      </c>
      <c r="B109" s="45" t="s">
        <v>263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273</v>
      </c>
      <c r="AU109" s="51"/>
      <c r="AV109" s="51"/>
      <c r="AW109" s="51"/>
      <c r="AX109" s="51"/>
      <c r="AY109" s="52"/>
      <c r="AZ109" s="189">
        <f>AZ110+AZ111</f>
        <v>45273</v>
      </c>
      <c r="BA109" s="95"/>
      <c r="BB109" s="188">
        <f>AZ109*BB58</f>
        <v>159722.15750252173</v>
      </c>
    </row>
    <row r="110" spans="1:54" ht="12.75">
      <c r="A110" s="45" t="s">
        <v>261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23</v>
      </c>
      <c r="AU110" s="64"/>
      <c r="AV110" s="64"/>
      <c r="AW110" s="64"/>
      <c r="AX110" s="64"/>
      <c r="AY110" s="65"/>
      <c r="AZ110" s="67">
        <v>5260</v>
      </c>
      <c r="BA110" s="78"/>
      <c r="BB110" s="188">
        <f>AZ110*BB58</f>
        <v>18557.165384738462</v>
      </c>
    </row>
    <row r="111" spans="1:54" ht="12.75">
      <c r="A111" s="44" t="s">
        <v>116</v>
      </c>
      <c r="B111" s="45" t="s">
        <v>117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24</v>
      </c>
      <c r="AU111" s="53"/>
      <c r="AV111" s="53"/>
      <c r="AW111" s="53"/>
      <c r="AX111" s="53"/>
      <c r="AY111" s="54"/>
      <c r="AZ111" s="68">
        <v>40013</v>
      </c>
      <c r="BA111" s="86"/>
      <c r="BB111" s="188">
        <f>AZ111*BB58</f>
        <v>141164.9921177833</v>
      </c>
    </row>
    <row r="112" spans="1:54" ht="12.75">
      <c r="A112" s="48" t="s">
        <v>118</v>
      </c>
      <c r="B112" s="48" t="s">
        <v>121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211</v>
      </c>
      <c r="AU112" s="55"/>
      <c r="AV112" s="55"/>
      <c r="AW112" s="55"/>
      <c r="AX112" s="55"/>
      <c r="AY112" s="56"/>
      <c r="AZ112" s="125">
        <v>8500</v>
      </c>
      <c r="BA112" s="92"/>
      <c r="BB112" s="188">
        <f>AZ112*BB58</f>
        <v>29987.81478522375</v>
      </c>
    </row>
    <row r="113" spans="1:54" ht="12.75">
      <c r="A113" s="49"/>
      <c r="B113" s="49" t="s">
        <v>119</v>
      </c>
      <c r="C113" s="91">
        <v>109056121</v>
      </c>
      <c r="D113" s="212">
        <v>6731.1708</v>
      </c>
      <c r="E113" s="212">
        <v>6757.6148</v>
      </c>
      <c r="F113" s="68">
        <v>4800</v>
      </c>
      <c r="G113" s="213">
        <f aca="true" t="shared" si="2" ref="G113:G132">E113-D113</f>
        <v>26.444000000000415</v>
      </c>
      <c r="H113" s="68"/>
      <c r="I113" s="68">
        <f>F113*G113+H113</f>
        <v>126931.20000000199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59</v>
      </c>
      <c r="AU113" s="55"/>
      <c r="AV113" s="55"/>
      <c r="AW113" s="55"/>
      <c r="AX113" s="55"/>
      <c r="AY113" s="56"/>
      <c r="AZ113" s="125">
        <v>19118</v>
      </c>
      <c r="BA113" s="92"/>
      <c r="BB113" s="188">
        <f>AZ113*BB58</f>
        <v>67447.88741928326</v>
      </c>
    </row>
    <row r="114" spans="1:54" ht="12.75">
      <c r="A114" s="48" t="s">
        <v>120</v>
      </c>
      <c r="B114" s="48" t="s">
        <v>132</v>
      </c>
      <c r="C114" s="90">
        <v>623125232</v>
      </c>
      <c r="D114" s="214">
        <v>3095.9294</v>
      </c>
      <c r="E114" s="214">
        <v>3126.0874</v>
      </c>
      <c r="F114" s="75">
        <v>1800</v>
      </c>
      <c r="G114" s="215">
        <f t="shared" si="2"/>
        <v>30.1579999999999</v>
      </c>
      <c r="H114" s="73"/>
      <c r="I114" s="75">
        <f>G114*F114</f>
        <v>54284.39999999982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200</v>
      </c>
      <c r="AU114" s="55"/>
      <c r="AV114" s="55"/>
      <c r="AW114" s="55"/>
      <c r="AX114" s="55"/>
      <c r="AY114" s="56"/>
      <c r="AZ114" s="125">
        <v>13419</v>
      </c>
      <c r="BA114" s="92"/>
      <c r="BB114" s="188">
        <f>AZ114*BB58</f>
        <v>47341.939600343234</v>
      </c>
    </row>
    <row r="115" spans="1:54" ht="12.75">
      <c r="A115" s="49"/>
      <c r="B115" s="49" t="s">
        <v>119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180</v>
      </c>
      <c r="AU115" s="55"/>
      <c r="AV115" s="55"/>
      <c r="AW115" s="55"/>
      <c r="AX115" s="55"/>
      <c r="AY115" s="56"/>
      <c r="AZ115" s="125">
        <v>2620</v>
      </c>
      <c r="BA115" s="92"/>
      <c r="BB115" s="188">
        <f>AZ115*BB58</f>
        <v>9243.302910268967</v>
      </c>
    </row>
    <row r="116" spans="1:54" ht="12.75">
      <c r="A116" s="48" t="s">
        <v>122</v>
      </c>
      <c r="B116" s="48" t="s">
        <v>133</v>
      </c>
      <c r="C116" s="90">
        <v>623125667</v>
      </c>
      <c r="D116" s="214">
        <v>4170.4933</v>
      </c>
      <c r="E116" s="214">
        <v>4208.7166</v>
      </c>
      <c r="F116" s="75">
        <v>1800</v>
      </c>
      <c r="G116" s="215">
        <f t="shared" si="2"/>
        <v>38.223299999999654</v>
      </c>
      <c r="H116" s="73"/>
      <c r="I116" s="75">
        <f>G116*F116</f>
        <v>68801.93999999938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20000</v>
      </c>
      <c r="BA116" s="92"/>
      <c r="BB116" s="188">
        <f>AZ116*BB58</f>
        <v>70559.56420052647</v>
      </c>
    </row>
    <row r="117" spans="1:54" ht="12.75">
      <c r="A117" s="49"/>
      <c r="B117" s="49" t="s">
        <v>119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6500</v>
      </c>
      <c r="BA117" s="92"/>
      <c r="BB117" s="188">
        <f>AZ117*BB58</f>
        <v>22931.8583651711</v>
      </c>
    </row>
    <row r="118" spans="1:54" ht="12.75">
      <c r="A118" s="48" t="s">
        <v>123</v>
      </c>
      <c r="B118" s="48" t="s">
        <v>134</v>
      </c>
      <c r="C118" s="90">
        <v>623126370</v>
      </c>
      <c r="D118" s="214">
        <v>843.8702</v>
      </c>
      <c r="E118" s="214">
        <v>858.322</v>
      </c>
      <c r="F118" s="75">
        <v>4800</v>
      </c>
      <c r="G118" s="215">
        <f t="shared" si="2"/>
        <v>14.451800000000048</v>
      </c>
      <c r="H118" s="73"/>
      <c r="I118" s="75">
        <f>G118*F118</f>
        <v>69368.64000000023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207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176.39891050131618</v>
      </c>
    </row>
    <row r="119" spans="1:54" ht="12.75">
      <c r="A119" s="49"/>
      <c r="B119" s="49" t="s">
        <v>119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202</v>
      </c>
      <c r="AU119" s="107"/>
      <c r="AV119" s="55"/>
      <c r="AW119" s="55"/>
      <c r="AX119" s="55"/>
      <c r="AY119" s="56"/>
      <c r="AZ119" s="125">
        <v>23960</v>
      </c>
      <c r="BA119" s="92"/>
      <c r="BB119" s="188">
        <f>AZ119*BB58</f>
        <v>84530.35791223071</v>
      </c>
    </row>
    <row r="120" spans="1:54" ht="12.75">
      <c r="A120" s="48" t="s">
        <v>124</v>
      </c>
      <c r="B120" s="48" t="s">
        <v>135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>
      <c r="A121" s="49"/>
      <c r="B121" s="49" t="s">
        <v>119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>
      <c r="A122" s="48" t="s">
        <v>125</v>
      </c>
      <c r="B122" s="48" t="s">
        <v>136</v>
      </c>
      <c r="C122" s="90">
        <v>623125142</v>
      </c>
      <c r="D122" s="214">
        <v>2759.187</v>
      </c>
      <c r="E122" s="214">
        <v>2789.6296</v>
      </c>
      <c r="F122" s="75">
        <v>2400</v>
      </c>
      <c r="G122" s="215">
        <f t="shared" si="2"/>
        <v>30.44260000000031</v>
      </c>
      <c r="H122" s="73"/>
      <c r="I122" s="75">
        <f>G122*F122</f>
        <v>73062.24000000075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>
      <c r="A123" s="49"/>
      <c r="B123" s="49" t="s">
        <v>119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>
      <c r="A124" s="48" t="s">
        <v>126</v>
      </c>
      <c r="B124" s="48" t="s">
        <v>137</v>
      </c>
      <c r="C124" s="90">
        <v>623125205</v>
      </c>
      <c r="D124" s="214">
        <v>2280.1824</v>
      </c>
      <c r="E124" s="214">
        <v>2321.0112</v>
      </c>
      <c r="F124" s="75">
        <v>1800</v>
      </c>
      <c r="G124" s="215">
        <f t="shared" si="2"/>
        <v>40.828799999999774</v>
      </c>
      <c r="H124" s="73"/>
      <c r="I124" s="75">
        <f>G124*F124</f>
        <v>73491.83999999959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>
      <c r="A125" s="49"/>
      <c r="B125" s="49" t="s">
        <v>119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>
      <c r="A126" s="48" t="s">
        <v>127</v>
      </c>
      <c r="B126" s="48" t="s">
        <v>138</v>
      </c>
      <c r="C126" s="90">
        <v>623123704</v>
      </c>
      <c r="D126" s="214">
        <v>2783.5775</v>
      </c>
      <c r="E126" s="214">
        <v>2827.8959</v>
      </c>
      <c r="F126" s="75">
        <v>1800</v>
      </c>
      <c r="G126" s="215">
        <f t="shared" si="2"/>
        <v>44.31840000000011</v>
      </c>
      <c r="H126" s="73"/>
      <c r="I126" s="75">
        <f>G126*F126</f>
        <v>79773.1200000002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>
      <c r="A127" s="49"/>
      <c r="B127" s="49" t="s">
        <v>119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128</v>
      </c>
      <c r="B128" s="48" t="s">
        <v>139</v>
      </c>
      <c r="C128" s="90">
        <v>623125794</v>
      </c>
      <c r="D128" s="214">
        <v>197.3839</v>
      </c>
      <c r="E128" s="214">
        <v>209.7982</v>
      </c>
      <c r="F128" s="75">
        <v>1800</v>
      </c>
      <c r="G128" s="215">
        <f>E128-D128</f>
        <v>12.414299999999997</v>
      </c>
      <c r="H128" s="73"/>
      <c r="I128" s="75">
        <f>G128*F128</f>
        <v>22345.739999999994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119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129</v>
      </c>
      <c r="B130" s="48" t="s">
        <v>140</v>
      </c>
      <c r="C130" s="90">
        <v>623125736</v>
      </c>
      <c r="D130" s="214">
        <v>3256.434</v>
      </c>
      <c r="E130" s="214">
        <v>3258.4127</v>
      </c>
      <c r="F130" s="75">
        <v>1200</v>
      </c>
      <c r="G130" s="215">
        <f t="shared" si="2"/>
        <v>1.9786999999996624</v>
      </c>
      <c r="H130" s="73"/>
      <c r="I130" s="75">
        <f>G130*F130</f>
        <v>2374.439999999595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119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6312104</v>
      </c>
      <c r="BA131" s="47"/>
      <c r="BB131" s="165">
        <f>SUM(BB93:BB96)+BB103+BB109+SUM(BB112:BB126)</f>
        <v>22268965.371419996</v>
      </c>
    </row>
    <row r="132" spans="1:54" ht="12.75">
      <c r="A132" s="48" t="s">
        <v>130</v>
      </c>
      <c r="B132" s="50" t="s">
        <v>131</v>
      </c>
      <c r="C132" s="90">
        <v>1110171156</v>
      </c>
      <c r="D132" s="214">
        <v>1854.4996</v>
      </c>
      <c r="E132" s="214">
        <v>1905.016</v>
      </c>
      <c r="F132" s="75">
        <v>40</v>
      </c>
      <c r="G132" s="215">
        <f t="shared" si="2"/>
        <v>50.516399999999976</v>
      </c>
      <c r="H132" s="73"/>
      <c r="I132" s="75">
        <f>G132*F132</f>
        <v>2020.655999999999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119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141</v>
      </c>
      <c r="H134" s="56"/>
      <c r="I134" s="125">
        <f>SUM(I112:I133)+I107</f>
        <v>1292441.3160000027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317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144</v>
      </c>
      <c r="B135" s="50" t="s">
        <v>142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143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48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145</v>
      </c>
      <c r="B137" s="48" t="s">
        <v>240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4">
        <v>611127627</v>
      </c>
      <c r="D138" s="191">
        <v>2612.83</v>
      </c>
      <c r="E138" s="191">
        <v>2644.464</v>
      </c>
      <c r="F138" s="60">
        <v>40</v>
      </c>
      <c r="G138" s="142">
        <f>E138-D138</f>
        <v>31.634000000000015</v>
      </c>
      <c r="H138" s="60"/>
      <c r="I138" s="60">
        <f>ROUND(F138*G138+H138,0)</f>
        <v>1265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231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302</v>
      </c>
      <c r="AX139" s="47"/>
      <c r="AY139" s="47"/>
      <c r="AZ139" s="47"/>
      <c r="BA139" s="47"/>
      <c r="BB139" s="47"/>
    </row>
    <row r="140" spans="1:54" ht="12.75">
      <c r="A140" s="48" t="s">
        <v>148</v>
      </c>
      <c r="B140" s="65"/>
      <c r="C140" s="106">
        <v>810120245</v>
      </c>
      <c r="D140" s="191">
        <v>1343.3656</v>
      </c>
      <c r="E140" s="191">
        <v>1343.8378</v>
      </c>
      <c r="F140" s="60">
        <v>3600</v>
      </c>
      <c r="G140" s="142">
        <f aca="true" t="shared" si="3" ref="G140:G145">E140-D140</f>
        <v>0.4721999999999298</v>
      </c>
      <c r="H140" s="60"/>
      <c r="I140" s="60">
        <f aca="true" t="shared" si="4" ref="I140:I145">ROUND(F140*G140+H140,0)</f>
        <v>1700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304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246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4424.9702</v>
      </c>
      <c r="E142" s="121">
        <v>4448.4544</v>
      </c>
      <c r="F142" s="60">
        <v>3600</v>
      </c>
      <c r="G142" s="143">
        <f t="shared" si="3"/>
        <v>23.484199999999873</v>
      </c>
      <c r="H142" s="44"/>
      <c r="I142" s="60">
        <f t="shared" si="4"/>
        <v>84543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315</v>
      </c>
      <c r="AX143" s="47"/>
      <c r="AY143" s="47"/>
      <c r="AZ143" s="47"/>
      <c r="BA143" s="47"/>
      <c r="BB143" s="47"/>
    </row>
    <row r="144" spans="1:54" ht="12.75">
      <c r="A144" s="74" t="s">
        <v>149</v>
      </c>
      <c r="B144" s="48" t="s">
        <v>115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316</v>
      </c>
      <c r="AX144" s="47"/>
      <c r="AY144" s="47"/>
      <c r="AZ144" s="47"/>
      <c r="BA144" s="47"/>
      <c r="BB144" s="47"/>
    </row>
    <row r="145" spans="1:54" ht="12.75">
      <c r="A145" s="196"/>
      <c r="B145" s="74" t="s">
        <v>114</v>
      </c>
      <c r="C145" s="194">
        <v>611127492</v>
      </c>
      <c r="D145" s="191">
        <v>6375.0848</v>
      </c>
      <c r="E145" s="191">
        <v>6411.678</v>
      </c>
      <c r="F145" s="60">
        <v>20</v>
      </c>
      <c r="G145" s="142">
        <f t="shared" si="3"/>
        <v>36.59320000000025</v>
      </c>
      <c r="H145" s="60"/>
      <c r="I145" s="60">
        <f t="shared" si="4"/>
        <v>732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150</v>
      </c>
      <c r="B146" s="48" t="s">
        <v>241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</row>
    <row r="147" spans="1:54" ht="12.75">
      <c r="A147" s="197"/>
      <c r="B147" s="70" t="s">
        <v>281</v>
      </c>
      <c r="C147" s="194">
        <v>611127702</v>
      </c>
      <c r="D147" s="191">
        <v>7200.744</v>
      </c>
      <c r="E147" s="191">
        <v>7267.2416</v>
      </c>
      <c r="F147" s="60">
        <v>60</v>
      </c>
      <c r="G147" s="142">
        <f>E147-D147</f>
        <v>66.4976000000006</v>
      </c>
      <c r="H147" s="44"/>
      <c r="I147" s="60">
        <f>ROUND(F147*G147+H147,0)</f>
        <v>3990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</row>
    <row r="148" spans="1:54" ht="12.75">
      <c r="A148" s="63"/>
      <c r="B148" s="70" t="s">
        <v>282</v>
      </c>
      <c r="C148" s="194">
        <v>611127555</v>
      </c>
      <c r="D148" s="191">
        <v>2615.1464</v>
      </c>
      <c r="E148" s="191">
        <v>2777.1004</v>
      </c>
      <c r="F148" s="60">
        <v>60</v>
      </c>
      <c r="G148" s="142">
        <f>E148-D148</f>
        <v>161.95399999999972</v>
      </c>
      <c r="H148" s="44"/>
      <c r="I148" s="60">
        <f>ROUND(F148*G148+H148,0)</f>
        <v>9717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</row>
    <row r="149" spans="1:54" ht="12.75">
      <c r="A149" s="50" t="s">
        <v>151</v>
      </c>
      <c r="B149" s="48" t="s">
        <v>242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</row>
    <row r="150" spans="1:54" ht="12.75">
      <c r="A150" s="197"/>
      <c r="B150" s="74"/>
      <c r="C150" s="194">
        <v>1110171163</v>
      </c>
      <c r="D150" s="121">
        <v>697.57</v>
      </c>
      <c r="E150" s="121">
        <v>699.834</v>
      </c>
      <c r="F150" s="60">
        <v>60</v>
      </c>
      <c r="G150" s="142">
        <f>E150-D150</f>
        <v>2.2639999999998963</v>
      </c>
      <c r="H150" s="44"/>
      <c r="I150" s="60">
        <f>ROUND(F150*G150+H150,0)</f>
        <v>136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</row>
    <row r="151" spans="1:54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</row>
    <row r="152" spans="1:54" ht="12.75">
      <c r="A152" s="50" t="s">
        <v>152</v>
      </c>
      <c r="B152" s="48" t="s">
        <v>243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4">
        <v>1110171170</v>
      </c>
      <c r="D153" s="191">
        <v>232.9996</v>
      </c>
      <c r="E153" s="191">
        <v>239.1164</v>
      </c>
      <c r="F153" s="60">
        <v>40</v>
      </c>
      <c r="G153" s="142">
        <f>E153-D153</f>
        <v>6.116800000000012</v>
      </c>
      <c r="H153" s="60"/>
      <c r="I153" s="60">
        <f>ROUND(F153*G153+H153,0)</f>
        <v>245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</row>
    <row r="154" spans="1:54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</row>
    <row r="155" spans="1:54" ht="12.75">
      <c r="A155" s="48" t="s">
        <v>153</v>
      </c>
      <c r="B155" s="52" t="s">
        <v>276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</row>
    <row r="156" spans="1:54" ht="12.75">
      <c r="A156" s="74"/>
      <c r="B156" s="65" t="s">
        <v>232</v>
      </c>
      <c r="C156" s="194">
        <v>611126404</v>
      </c>
      <c r="D156" s="191">
        <v>956.5234</v>
      </c>
      <c r="E156" s="191">
        <v>958.2261</v>
      </c>
      <c r="F156" s="60">
        <v>1800</v>
      </c>
      <c r="G156" s="142">
        <f>E156-D156</f>
        <v>1.7026999999999362</v>
      </c>
      <c r="H156" s="60"/>
      <c r="I156" s="60">
        <f>ROUND(F156*G156+H156,0)</f>
        <v>3065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</row>
    <row r="157" spans="1:54" ht="12.75">
      <c r="A157" s="49"/>
      <c r="B157" s="54" t="s">
        <v>247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233</v>
      </c>
      <c r="B158" s="48" t="s">
        <v>244</v>
      </c>
      <c r="C158" s="194">
        <v>611127724</v>
      </c>
      <c r="D158" s="191">
        <v>724.6972</v>
      </c>
      <c r="E158" s="191">
        <v>732.4136</v>
      </c>
      <c r="F158" s="60">
        <v>30</v>
      </c>
      <c r="G158" s="142">
        <f>E158-D158</f>
        <v>7.7164000000000215</v>
      </c>
      <c r="H158" s="60"/>
      <c r="I158" s="60">
        <f>ROUND(F158*G158+H158,0)</f>
        <v>231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>
      <c r="A159" s="46"/>
      <c r="B159" s="74" t="s">
        <v>275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154</v>
      </c>
      <c r="G161" s="55"/>
      <c r="H161" s="56"/>
      <c r="I161" s="125">
        <f>SUM(I137:I159)-I160</f>
        <v>105624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155</v>
      </c>
      <c r="H162" s="56"/>
      <c r="I162" s="125">
        <f>I103+I104+I107+I108+I109+I110-I134-I161</f>
        <v>3266092.583999986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162</v>
      </c>
      <c r="B163" s="45" t="s">
        <v>156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160</v>
      </c>
      <c r="B164" s="48" t="s">
        <v>157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158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161</v>
      </c>
      <c r="B166" s="48" t="s">
        <v>159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158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163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164</v>
      </c>
      <c r="H169" s="56"/>
      <c r="I169" s="125">
        <f>I162+I168</f>
        <v>3266092.583999986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165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290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168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169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268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291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257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251</v>
      </c>
      <c r="BA178" s="47" t="s">
        <v>27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248</v>
      </c>
      <c r="AZ179" s="190">
        <f>AZ183+AZ184+AZ185</f>
        <v>2742934</v>
      </c>
      <c r="BA179" s="218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249</v>
      </c>
      <c r="AZ180" s="190">
        <f>AZ187-AZ179-AZ181</f>
        <v>-2742934</v>
      </c>
      <c r="BA180" s="218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250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252</v>
      </c>
      <c r="AZ183" s="217">
        <v>2742934</v>
      </c>
      <c r="BA183" s="216"/>
    </row>
    <row r="184" spans="51:53" ht="12.75">
      <c r="AY184" s="47"/>
      <c r="AZ184" s="217"/>
      <c r="BA184" s="216"/>
    </row>
    <row r="185" spans="51:53" ht="12.75">
      <c r="AY185" s="47"/>
      <c r="AZ185" s="217"/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1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8" width="9.25390625" style="0" customWidth="1"/>
    <col min="9" max="9" width="12.25390625" style="0" customWidth="1"/>
    <col min="10" max="10" width="6.125" style="0" customWidth="1"/>
    <col min="11" max="11" width="36.375" style="0" customWidth="1"/>
    <col min="12" max="12" width="16.125" style="0" customWidth="1"/>
    <col min="13" max="14" width="11.125" style="0" customWidth="1"/>
    <col min="15" max="15" width="9.25390625" style="0" customWidth="1"/>
    <col min="16" max="16" width="9.625" style="0" customWidth="1"/>
    <col min="17" max="17" width="8.875" style="0" customWidth="1"/>
    <col min="18" max="18" width="14.125" style="0" customWidth="1"/>
    <col min="19" max="19" width="7.00390625" style="0" customWidth="1"/>
    <col min="21" max="21" width="13.00390625" style="0" customWidth="1"/>
    <col min="22" max="22" width="24.75390625" style="0" customWidth="1"/>
    <col min="23" max="23" width="13.125" style="0" customWidth="1"/>
    <col min="24" max="24" width="13.25390625" style="0" customWidth="1"/>
    <col min="25" max="25" width="12.375" style="0" customWidth="1"/>
    <col min="26" max="26" width="12.125" style="0" customWidth="1"/>
    <col min="27" max="27" width="12.75390625" style="0" customWidth="1"/>
    <col min="28" max="28" width="6.75390625" style="0" customWidth="1"/>
    <col min="29" max="29" width="10.75390625" style="0" customWidth="1"/>
    <col min="31" max="31" width="25.625" style="0" customWidth="1"/>
    <col min="32" max="32" width="13.75390625" style="0" customWidth="1"/>
    <col min="33" max="33" width="13.375" style="0" customWidth="1"/>
    <col min="34" max="34" width="13.00390625" style="0" customWidth="1"/>
    <col min="35" max="35" width="13.25390625" style="0" customWidth="1"/>
    <col min="36" max="36" width="12.75390625" style="0" customWidth="1"/>
    <col min="37" max="37" width="6.75390625" style="0" customWidth="1"/>
    <col min="40" max="40" width="24.375" style="0" customWidth="1"/>
    <col min="41" max="45" width="13.00390625" style="0" customWidth="1"/>
    <col min="51" max="51" width="24.75390625" style="0" customWidth="1"/>
    <col min="52" max="52" width="13.875" style="0" customWidth="1"/>
    <col min="53" max="53" width="14.00390625" style="0" customWidth="1"/>
    <col min="54" max="54" width="15.37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90</v>
      </c>
      <c r="E2" s="47"/>
      <c r="F2" s="47"/>
      <c r="G2" s="47"/>
      <c r="H2" s="47"/>
      <c r="I2" s="47"/>
      <c r="J2" s="47"/>
      <c r="K2" s="47"/>
      <c r="L2" s="47"/>
      <c r="M2" s="47" t="s">
        <v>174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187</v>
      </c>
      <c r="AC2" s="47"/>
      <c r="AD2" s="47"/>
      <c r="AE2" s="47"/>
      <c r="AF2" s="47"/>
      <c r="AG2" s="47"/>
      <c r="AH2" s="47"/>
      <c r="AI2" s="47"/>
      <c r="AJ2" s="47"/>
      <c r="AK2" s="47" t="s">
        <v>187</v>
      </c>
      <c r="AL2" s="47"/>
      <c r="AM2" s="47"/>
      <c r="AN2" s="47"/>
      <c r="AO2" s="47"/>
      <c r="AP2" s="47"/>
      <c r="AQ2" s="47"/>
      <c r="AR2" s="47"/>
      <c r="AS2" s="47"/>
      <c r="AT2" s="64" t="s">
        <v>267</v>
      </c>
      <c r="AU2" s="47"/>
      <c r="AV2" s="47"/>
      <c r="AW2" s="47"/>
      <c r="AX2" s="47"/>
      <c r="AY2" s="47"/>
      <c r="AZ2" s="47"/>
      <c r="BA2" s="47"/>
      <c r="BB2" s="47"/>
    </row>
    <row r="3" spans="1:54" ht="12.75">
      <c r="A3" s="47"/>
      <c r="B3" s="47"/>
      <c r="C3" s="47"/>
      <c r="D3" s="47" t="s">
        <v>91</v>
      </c>
      <c r="E3" s="47"/>
      <c r="F3" s="47"/>
      <c r="G3" s="47"/>
      <c r="H3" s="47"/>
      <c r="I3" s="47"/>
      <c r="J3" s="47"/>
      <c r="K3" s="47"/>
      <c r="L3" s="47"/>
      <c r="M3" s="47" t="s">
        <v>175</v>
      </c>
      <c r="N3" s="47"/>
      <c r="O3" s="47"/>
      <c r="P3" s="47"/>
      <c r="Q3" s="47"/>
      <c r="R3" s="47"/>
      <c r="S3" s="47" t="s">
        <v>187</v>
      </c>
      <c r="T3" s="47"/>
      <c r="U3" s="47"/>
      <c r="V3" s="47"/>
      <c r="W3" s="47"/>
      <c r="X3" s="47"/>
      <c r="Y3" s="47"/>
      <c r="Z3" s="47"/>
      <c r="AA3" s="47"/>
      <c r="AB3" s="47" t="s">
        <v>186</v>
      </c>
      <c r="AC3" s="47"/>
      <c r="AD3" s="47"/>
      <c r="AE3" s="47"/>
      <c r="AF3" s="47"/>
      <c r="AG3" s="47"/>
      <c r="AH3" s="47"/>
      <c r="AI3" s="47"/>
      <c r="AJ3" s="47"/>
      <c r="AK3" s="47" t="s">
        <v>186</v>
      </c>
      <c r="AL3" s="47"/>
      <c r="AM3" s="47"/>
      <c r="AN3" s="47"/>
      <c r="AO3" s="47"/>
      <c r="AP3" s="47"/>
      <c r="AQ3" s="47"/>
      <c r="AR3" s="47"/>
      <c r="AS3" s="47"/>
      <c r="AT3" s="64" t="s">
        <v>269</v>
      </c>
      <c r="AU3" s="47"/>
      <c r="AV3" s="47"/>
      <c r="AW3" s="47"/>
      <c r="AX3" s="47"/>
      <c r="AY3" s="47"/>
      <c r="AZ3" s="47"/>
      <c r="BA3" s="47"/>
      <c r="BB3" s="47"/>
    </row>
    <row r="4" spans="1:54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186</v>
      </c>
      <c r="T4" s="47"/>
      <c r="U4" s="47"/>
      <c r="V4" s="47"/>
      <c r="W4" s="47"/>
      <c r="X4" s="47"/>
      <c r="Y4" s="47"/>
      <c r="Z4" s="47"/>
      <c r="AA4" s="47"/>
      <c r="AB4" s="47" t="s">
        <v>188</v>
      </c>
      <c r="AC4" s="47"/>
      <c r="AD4" s="47"/>
      <c r="AE4" s="47"/>
      <c r="AF4" s="47"/>
      <c r="AG4" s="47"/>
      <c r="AH4" s="47"/>
      <c r="AI4" s="47"/>
      <c r="AJ4" s="47"/>
      <c r="AK4" s="47" t="s">
        <v>188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212</v>
      </c>
      <c r="AV4" s="47"/>
      <c r="AW4" s="47"/>
      <c r="AX4" s="47"/>
      <c r="AY4" s="144" t="s">
        <v>44</v>
      </c>
      <c r="AZ4" s="144" t="s">
        <v>293</v>
      </c>
      <c r="BA4" s="47"/>
      <c r="BB4" s="47"/>
    </row>
    <row r="5" spans="1:54" ht="12.75">
      <c r="A5" s="47"/>
      <c r="B5" s="47"/>
      <c r="C5" s="47" t="s">
        <v>92</v>
      </c>
      <c r="D5" s="47"/>
      <c r="E5" s="47"/>
      <c r="F5" s="47"/>
      <c r="G5" s="47"/>
      <c r="H5" s="47"/>
      <c r="I5" s="47"/>
      <c r="J5" s="47"/>
      <c r="K5" s="47"/>
      <c r="L5" s="47" t="s">
        <v>92</v>
      </c>
      <c r="M5" s="47"/>
      <c r="N5" s="47"/>
      <c r="O5" s="47"/>
      <c r="P5" s="47"/>
      <c r="Q5" s="47"/>
      <c r="R5" s="47"/>
      <c r="S5" s="47" t="s">
        <v>188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214</v>
      </c>
      <c r="AV5" s="51"/>
      <c r="AW5" s="51"/>
      <c r="AX5" s="51"/>
      <c r="AY5" s="51"/>
      <c r="AZ5" s="50" t="s">
        <v>215</v>
      </c>
      <c r="BA5" s="50" t="s">
        <v>216</v>
      </c>
      <c r="BB5" s="48" t="s">
        <v>201</v>
      </c>
    </row>
    <row r="6" spans="1:54" ht="12.75">
      <c r="A6" s="47"/>
      <c r="B6" s="47"/>
      <c r="C6" s="47"/>
      <c r="D6" s="167" t="s">
        <v>318</v>
      </c>
      <c r="E6" s="167"/>
      <c r="F6" s="47"/>
      <c r="G6" s="47"/>
      <c r="H6" s="47"/>
      <c r="I6" s="47"/>
      <c r="J6" s="47"/>
      <c r="K6" s="47"/>
      <c r="L6" s="47"/>
      <c r="M6" s="167" t="s">
        <v>318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217</v>
      </c>
      <c r="BA6" s="63" t="s">
        <v>76</v>
      </c>
      <c r="BB6" s="74" t="s">
        <v>14</v>
      </c>
    </row>
    <row r="7" spans="1:54" ht="12.75">
      <c r="A7" s="47" t="s">
        <v>265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77</v>
      </c>
      <c r="BA7" s="46"/>
      <c r="BB7" s="49" t="s">
        <v>15</v>
      </c>
    </row>
    <row r="8" spans="1:54" ht="12.75">
      <c r="A8" s="47" t="s">
        <v>93</v>
      </c>
      <c r="B8" s="47"/>
      <c r="C8" s="47"/>
      <c r="D8" s="47"/>
      <c r="E8" s="47"/>
      <c r="F8" s="47"/>
      <c r="G8" s="47"/>
      <c r="H8" s="47"/>
      <c r="I8" s="47"/>
      <c r="J8" s="47" t="s">
        <v>265</v>
      </c>
      <c r="K8" s="47"/>
      <c r="L8" s="47"/>
      <c r="M8" s="47"/>
      <c r="N8" s="47"/>
      <c r="O8" s="47"/>
      <c r="P8" s="47"/>
      <c r="Q8" s="47"/>
      <c r="R8" s="47"/>
      <c r="S8" s="47" t="s">
        <v>199</v>
      </c>
      <c r="T8" s="47"/>
      <c r="U8" s="47"/>
      <c r="V8" s="47"/>
      <c r="W8" s="47"/>
      <c r="X8" s="47"/>
      <c r="Y8" s="47"/>
      <c r="Z8" s="47"/>
      <c r="AA8" s="47"/>
      <c r="AB8" s="47" t="s">
        <v>199</v>
      </c>
      <c r="AC8" s="47"/>
      <c r="AD8" s="47"/>
      <c r="AE8" s="47"/>
      <c r="AF8" s="47"/>
      <c r="AG8" s="47"/>
      <c r="AH8" s="47"/>
      <c r="AI8" s="47"/>
      <c r="AJ8" s="47"/>
      <c r="AK8" s="47" t="s">
        <v>199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8410011.59999998</v>
      </c>
      <c r="BA8" s="168"/>
      <c r="BB8" s="169">
        <f>BB9+BB14</f>
        <v>14490489.541989999</v>
      </c>
    </row>
    <row r="9" spans="1:54" ht="12.75">
      <c r="A9" s="47" t="s">
        <v>95</v>
      </c>
      <c r="B9" s="47"/>
      <c r="C9" s="47"/>
      <c r="D9" s="47"/>
      <c r="E9" s="47"/>
      <c r="F9" s="47" t="s">
        <v>94</v>
      </c>
      <c r="G9" s="47"/>
      <c r="H9" s="47"/>
      <c r="I9" s="47"/>
      <c r="J9" s="47" t="s">
        <v>93</v>
      </c>
      <c r="K9" s="47"/>
      <c r="L9" s="47"/>
      <c r="M9" s="47"/>
      <c r="N9" s="47"/>
      <c r="O9" s="47" t="s">
        <v>94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203</v>
      </c>
      <c r="AU9" s="146"/>
      <c r="AV9" s="146"/>
      <c r="AW9" s="146"/>
      <c r="AX9" s="51"/>
      <c r="AY9" s="52"/>
      <c r="AZ9" s="170">
        <f>AZ11+AZ12</f>
        <v>4781626</v>
      </c>
      <c r="BA9" s="171">
        <f>(BB12+BB11)/AZ9</f>
        <v>3.0301655006037693</v>
      </c>
      <c r="BB9" s="169">
        <f>BB10+BB11+BB12+BB13</f>
        <v>14489118.141989999</v>
      </c>
    </row>
    <row r="10" spans="1:54" ht="12.75">
      <c r="A10" s="48" t="s">
        <v>190</v>
      </c>
      <c r="B10" s="73" t="s">
        <v>96</v>
      </c>
      <c r="C10" s="48" t="s">
        <v>97</v>
      </c>
      <c r="D10" s="116" t="s">
        <v>172</v>
      </c>
      <c r="E10" s="117"/>
      <c r="F10" s="48" t="s">
        <v>98</v>
      </c>
      <c r="G10" s="48" t="s">
        <v>213</v>
      </c>
      <c r="H10" s="48" t="s">
        <v>99</v>
      </c>
      <c r="I10" s="48" t="s">
        <v>89</v>
      </c>
      <c r="J10" s="47" t="s">
        <v>95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324</v>
      </c>
      <c r="Z10" s="47"/>
      <c r="AA10" s="47"/>
      <c r="AB10" s="47"/>
      <c r="AC10" s="47"/>
      <c r="AD10" s="47"/>
      <c r="AE10" s="47"/>
      <c r="AF10" s="47"/>
      <c r="AG10" s="47"/>
      <c r="AH10" s="167" t="s">
        <v>324</v>
      </c>
      <c r="AI10" s="47"/>
      <c r="AJ10" s="47"/>
      <c r="AK10" s="47"/>
      <c r="AL10" s="47"/>
      <c r="AM10" s="47"/>
      <c r="AN10" s="47"/>
      <c r="AO10" s="47"/>
      <c r="AP10" s="47"/>
      <c r="AQ10" s="167" t="s">
        <v>324</v>
      </c>
      <c r="AR10" s="47"/>
      <c r="AS10" s="47"/>
      <c r="AT10" s="50" t="s">
        <v>78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100</v>
      </c>
      <c r="E11" s="50" t="s">
        <v>101</v>
      </c>
      <c r="F11" s="74" t="s">
        <v>102</v>
      </c>
      <c r="G11" s="74" t="s">
        <v>88</v>
      </c>
      <c r="H11" s="74"/>
      <c r="I11" s="74" t="s">
        <v>103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79</v>
      </c>
      <c r="AU11" s="51"/>
      <c r="AV11" s="51"/>
      <c r="AW11" s="51"/>
      <c r="AX11" s="51"/>
      <c r="AY11" s="52"/>
      <c r="AZ11" s="60">
        <f>I81+I73</f>
        <v>2695</v>
      </c>
      <c r="BA11" s="175">
        <v>4.75998</v>
      </c>
      <c r="BB11" s="174">
        <f>AZ11*BA11</f>
        <v>12828.1461</v>
      </c>
    </row>
    <row r="12" spans="1:54" ht="12.75">
      <c r="A12" s="49"/>
      <c r="B12" s="49"/>
      <c r="C12" s="49"/>
      <c r="D12" s="49" t="s">
        <v>104</v>
      </c>
      <c r="E12" s="46" t="s">
        <v>104</v>
      </c>
      <c r="F12" s="49" t="s">
        <v>105</v>
      </c>
      <c r="G12" s="49"/>
      <c r="H12" s="49"/>
      <c r="I12" s="49"/>
      <c r="J12" s="48" t="s">
        <v>190</v>
      </c>
      <c r="K12" s="73" t="s">
        <v>96</v>
      </c>
      <c r="L12" s="48" t="s">
        <v>97</v>
      </c>
      <c r="M12" s="116" t="s">
        <v>229</v>
      </c>
      <c r="N12" s="117"/>
      <c r="O12" s="48" t="s">
        <v>98</v>
      </c>
      <c r="P12" s="48" t="s">
        <v>213</v>
      </c>
      <c r="Q12" s="48" t="s">
        <v>99</v>
      </c>
      <c r="R12" s="48" t="s">
        <v>89</v>
      </c>
      <c r="S12" s="48" t="s">
        <v>190</v>
      </c>
      <c r="T12" s="50" t="s">
        <v>191</v>
      </c>
      <c r="U12" s="51"/>
      <c r="V12" s="52"/>
      <c r="W12" s="45" t="s">
        <v>192</v>
      </c>
      <c r="X12" s="55"/>
      <c r="Y12" s="55"/>
      <c r="Z12" s="55"/>
      <c r="AA12" s="56"/>
      <c r="AB12" s="48" t="s">
        <v>190</v>
      </c>
      <c r="AC12" s="50" t="s">
        <v>191</v>
      </c>
      <c r="AD12" s="51"/>
      <c r="AE12" s="52"/>
      <c r="AF12" s="45" t="s">
        <v>192</v>
      </c>
      <c r="AG12" s="55"/>
      <c r="AH12" s="55"/>
      <c r="AI12" s="55"/>
      <c r="AJ12" s="56"/>
      <c r="AK12" s="48" t="s">
        <v>190</v>
      </c>
      <c r="AL12" s="50" t="s">
        <v>191</v>
      </c>
      <c r="AM12" s="51"/>
      <c r="AN12" s="52"/>
      <c r="AO12" s="45" t="s">
        <v>192</v>
      </c>
      <c r="AP12" s="55"/>
      <c r="AQ12" s="55"/>
      <c r="AR12" s="55"/>
      <c r="AS12" s="56"/>
      <c r="AT12" s="50" t="s">
        <v>80</v>
      </c>
      <c r="AU12" s="51"/>
      <c r="AV12" s="51"/>
      <c r="AW12" s="51"/>
      <c r="AX12" s="51"/>
      <c r="AY12" s="52"/>
      <c r="AZ12" s="170">
        <f>I75</f>
        <v>4778931</v>
      </c>
      <c r="BA12" s="176">
        <v>3.02919</v>
      </c>
      <c r="BB12" s="174">
        <f>AZ12*BA12</f>
        <v>14476289.995889999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100</v>
      </c>
      <c r="N13" s="50" t="s">
        <v>101</v>
      </c>
      <c r="O13" s="74" t="s">
        <v>102</v>
      </c>
      <c r="P13" s="74" t="s">
        <v>88</v>
      </c>
      <c r="Q13" s="74"/>
      <c r="R13" s="74" t="s">
        <v>103</v>
      </c>
      <c r="S13" s="49"/>
      <c r="T13" s="46"/>
      <c r="U13" s="53"/>
      <c r="V13" s="54"/>
      <c r="W13" s="57" t="s">
        <v>193</v>
      </c>
      <c r="X13" s="57" t="s">
        <v>194</v>
      </c>
      <c r="Y13" s="57" t="s">
        <v>195</v>
      </c>
      <c r="Z13" s="57" t="s">
        <v>196</v>
      </c>
      <c r="AA13" s="57" t="s">
        <v>197</v>
      </c>
      <c r="AB13" s="49"/>
      <c r="AC13" s="46"/>
      <c r="AD13" s="53"/>
      <c r="AE13" s="54"/>
      <c r="AF13" s="57" t="s">
        <v>193</v>
      </c>
      <c r="AG13" s="57" t="s">
        <v>194</v>
      </c>
      <c r="AH13" s="57" t="s">
        <v>195</v>
      </c>
      <c r="AI13" s="57" t="s">
        <v>196</v>
      </c>
      <c r="AJ13" s="57" t="s">
        <v>197</v>
      </c>
      <c r="AK13" s="49"/>
      <c r="AL13" s="46"/>
      <c r="AM13" s="53"/>
      <c r="AN13" s="54"/>
      <c r="AO13" s="57" t="s">
        <v>193</v>
      </c>
      <c r="AP13" s="57" t="s">
        <v>194</v>
      </c>
      <c r="AQ13" s="57" t="s">
        <v>195</v>
      </c>
      <c r="AR13" s="57" t="s">
        <v>196</v>
      </c>
      <c r="AS13" s="57" t="s">
        <v>197</v>
      </c>
      <c r="AT13" s="45" t="s">
        <v>73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9" t="s">
        <v>106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104</v>
      </c>
      <c r="N14" s="46" t="s">
        <v>104</v>
      </c>
      <c r="O14" s="49" t="s">
        <v>105</v>
      </c>
      <c r="P14" s="49"/>
      <c r="Q14" s="49"/>
      <c r="R14" s="49"/>
      <c r="S14" s="57">
        <v>1</v>
      </c>
      <c r="T14" s="44" t="s">
        <v>64</v>
      </c>
      <c r="U14" s="44"/>
      <c r="V14" s="44"/>
      <c r="W14" s="60">
        <f aca="true" t="shared" si="0" ref="W14:W25">SUM(X14:AA14)</f>
        <v>3429473</v>
      </c>
      <c r="X14" s="60">
        <f>SUM(X15:X26)</f>
        <v>3149062</v>
      </c>
      <c r="Y14" s="60">
        <f>SUM(Y15:Y27)</f>
        <v>0</v>
      </c>
      <c r="Z14" s="60">
        <f>SUM(Z15:Z26)</f>
        <v>280411</v>
      </c>
      <c r="AA14" s="57">
        <f>SUM(AA15:AA27)</f>
        <v>0</v>
      </c>
      <c r="AB14" s="57"/>
      <c r="AC14" s="44" t="s">
        <v>43</v>
      </c>
      <c r="AD14" s="44"/>
      <c r="AE14" s="44"/>
      <c r="AF14" s="67">
        <f>SUM(AG14:AJ14)</f>
        <v>154160</v>
      </c>
      <c r="AG14" s="60">
        <f>SUM(AG16:AG22)</f>
        <v>149692</v>
      </c>
      <c r="AH14" s="60">
        <f>SUM(AH16:AH22)</f>
        <v>0</v>
      </c>
      <c r="AI14" s="60">
        <f>SUM(AI16:AI22)</f>
        <v>4468</v>
      </c>
      <c r="AJ14" s="57">
        <f>SUM(AJ16:AJ22)</f>
        <v>0</v>
      </c>
      <c r="AK14" s="73">
        <v>1</v>
      </c>
      <c r="AL14" s="48" t="s">
        <v>43</v>
      </c>
      <c r="AM14" s="48"/>
      <c r="AN14" s="48"/>
      <c r="AO14" s="75">
        <f>SUM(AP14:AS14)</f>
        <v>44870</v>
      </c>
      <c r="AP14" s="75">
        <f>SUM(AP16:AP17)</f>
        <v>0</v>
      </c>
      <c r="AQ14" s="75">
        <f>SUM(AQ16:AQ17)</f>
        <v>0</v>
      </c>
      <c r="AR14" s="75">
        <f>ROUND(SUM(AR16:AR20),0)</f>
        <v>44870</v>
      </c>
      <c r="AS14" s="73">
        <f>SUM(AS16:AS17)</f>
        <v>0</v>
      </c>
      <c r="AT14" s="49" t="s">
        <v>219</v>
      </c>
      <c r="AU14" s="49"/>
      <c r="AV14" s="49"/>
      <c r="AW14" s="49"/>
      <c r="AX14" s="49"/>
      <c r="AY14" s="49"/>
      <c r="AZ14" s="170">
        <f>SUM(AZ15:AZ21)</f>
        <v>485</v>
      </c>
      <c r="BA14" s="177"/>
      <c r="BB14" s="174">
        <f>SUM(BB15:BB21)</f>
        <v>1371.4</v>
      </c>
    </row>
    <row r="15" spans="1:54" ht="12.75">
      <c r="A15" s="46"/>
      <c r="B15" s="45" t="s">
        <v>258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50</v>
      </c>
      <c r="T15" s="50" t="s">
        <v>28</v>
      </c>
      <c r="U15" s="51"/>
      <c r="V15" s="51"/>
      <c r="W15" s="67">
        <f t="shared" si="0"/>
        <v>2141569</v>
      </c>
      <c r="X15" s="88">
        <f>ROUND(I20,0)</f>
        <v>2141569</v>
      </c>
      <c r="Y15" s="73">
        <v>0</v>
      </c>
      <c r="Z15" s="73">
        <v>0</v>
      </c>
      <c r="AA15" s="73">
        <v>0</v>
      </c>
      <c r="AB15" s="73">
        <v>1</v>
      </c>
      <c r="AC15" s="50" t="s">
        <v>278</v>
      </c>
      <c r="AD15" s="51"/>
      <c r="AE15" s="52"/>
      <c r="AF15" s="66"/>
      <c r="AG15" s="69"/>
      <c r="AH15" s="69"/>
      <c r="AI15" s="69"/>
      <c r="AJ15" s="192"/>
      <c r="AK15" s="208"/>
      <c r="AL15" s="50" t="s">
        <v>280</v>
      </c>
      <c r="AM15" s="51"/>
      <c r="AN15" s="52"/>
      <c r="AO15" s="75"/>
      <c r="AP15" s="73"/>
      <c r="AQ15" s="73"/>
      <c r="AR15" s="75"/>
      <c r="AS15" s="73"/>
      <c r="AT15" s="52" t="s">
        <v>74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>
      <c r="A16" s="73">
        <v>1</v>
      </c>
      <c r="B16" s="48" t="s">
        <v>146</v>
      </c>
      <c r="C16" s="90">
        <v>804152757</v>
      </c>
      <c r="D16" s="121">
        <v>5476.9902</v>
      </c>
      <c r="E16" s="121">
        <v>5543.6687</v>
      </c>
      <c r="F16" s="60">
        <v>36000</v>
      </c>
      <c r="G16" s="142">
        <f>E16-D16</f>
        <v>66.67849999999999</v>
      </c>
      <c r="H16" s="44"/>
      <c r="I16" s="60">
        <f>ROUND((F16*G16+H16),0)</f>
        <v>2400426</v>
      </c>
      <c r="J16" s="46"/>
      <c r="K16" s="53"/>
      <c r="L16" s="53" t="s">
        <v>106</v>
      </c>
      <c r="M16" s="53"/>
      <c r="N16" s="53"/>
      <c r="O16" s="53"/>
      <c r="P16" s="53"/>
      <c r="Q16" s="53"/>
      <c r="R16" s="54"/>
      <c r="S16" s="61" t="s">
        <v>51</v>
      </c>
      <c r="T16" s="63" t="s">
        <v>29</v>
      </c>
      <c r="U16" s="64"/>
      <c r="V16" s="64"/>
      <c r="W16" s="67">
        <f t="shared" si="0"/>
        <v>109745</v>
      </c>
      <c r="X16" s="81">
        <f>ROUND(I27,0)</f>
        <v>109745</v>
      </c>
      <c r="Y16" s="70">
        <v>0</v>
      </c>
      <c r="Z16" s="67">
        <v>0</v>
      </c>
      <c r="AA16" s="70">
        <v>0</v>
      </c>
      <c r="AB16" s="61" t="s">
        <v>50</v>
      </c>
      <c r="AC16" s="63" t="s">
        <v>198</v>
      </c>
      <c r="AD16" s="64"/>
      <c r="AE16" s="65"/>
      <c r="AF16" s="67">
        <f>AG16+AH16+AI16+AJ16</f>
        <v>149692</v>
      </c>
      <c r="AG16" s="67">
        <v>149692</v>
      </c>
      <c r="AH16" s="70">
        <v>0</v>
      </c>
      <c r="AI16" s="67">
        <v>0</v>
      </c>
      <c r="AJ16" s="87">
        <v>0</v>
      </c>
      <c r="AK16" s="61" t="s">
        <v>50</v>
      </c>
      <c r="AL16" s="63" t="s">
        <v>16</v>
      </c>
      <c r="AM16" s="64"/>
      <c r="AN16" s="65"/>
      <c r="AO16" s="67">
        <f>AP16+AQ16+AR16+AS16</f>
        <v>138</v>
      </c>
      <c r="AP16" s="70">
        <v>0</v>
      </c>
      <c r="AQ16" s="70">
        <v>0</v>
      </c>
      <c r="AR16" s="67">
        <v>138</v>
      </c>
      <c r="AS16" s="70">
        <v>0</v>
      </c>
      <c r="AT16" s="52" t="s">
        <v>74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>
      <c r="A17" s="49"/>
      <c r="B17" s="46" t="s">
        <v>147</v>
      </c>
      <c r="C17" s="106">
        <v>109054169</v>
      </c>
      <c r="D17" s="121">
        <v>8371.4313</v>
      </c>
      <c r="E17" s="121">
        <v>8476.9944</v>
      </c>
      <c r="F17" s="60">
        <v>36000</v>
      </c>
      <c r="G17" s="142">
        <f>E17-D17</f>
        <v>105.5630999999994</v>
      </c>
      <c r="H17" s="44"/>
      <c r="I17" s="60">
        <f>F17*G17+H17</f>
        <v>3800271.599999978</v>
      </c>
      <c r="J17" s="44"/>
      <c r="K17" s="45" t="s">
        <v>107</v>
      </c>
      <c r="L17" s="55"/>
      <c r="M17" s="55"/>
      <c r="N17" s="55"/>
      <c r="O17" s="55"/>
      <c r="P17" s="55"/>
      <c r="Q17" s="55"/>
      <c r="R17" s="56"/>
      <c r="S17" s="61" t="s">
        <v>52</v>
      </c>
      <c r="T17" s="63" t="s">
        <v>30</v>
      </c>
      <c r="U17" s="64"/>
      <c r="V17" s="64"/>
      <c r="W17" s="67">
        <f t="shared" si="0"/>
        <v>115120</v>
      </c>
      <c r="X17" s="81">
        <f>ROUND(I29,0)</f>
        <v>115120</v>
      </c>
      <c r="Y17" s="70">
        <v>0</v>
      </c>
      <c r="Z17" s="67">
        <v>0</v>
      </c>
      <c r="AA17" s="70">
        <v>0</v>
      </c>
      <c r="AB17" s="61" t="s">
        <v>51</v>
      </c>
      <c r="AC17" s="63" t="s">
        <v>72</v>
      </c>
      <c r="AD17" s="64"/>
      <c r="AE17" s="65"/>
      <c r="AF17" s="67">
        <f>AG17+AH17+AI17+AJ17</f>
        <v>2283</v>
      </c>
      <c r="AG17" s="70">
        <v>0</v>
      </c>
      <c r="AH17" s="70">
        <v>0</v>
      </c>
      <c r="AI17" s="67">
        <v>2283</v>
      </c>
      <c r="AJ17" s="87">
        <v>0</v>
      </c>
      <c r="AK17" s="61" t="s">
        <v>51</v>
      </c>
      <c r="AL17" s="63" t="s">
        <v>166</v>
      </c>
      <c r="AM17" s="64"/>
      <c r="AN17" s="65"/>
      <c r="AO17" s="67">
        <f>AP17+AQ17+AR17+AS17</f>
        <v>147</v>
      </c>
      <c r="AP17" s="70">
        <v>0</v>
      </c>
      <c r="AQ17" s="70">
        <v>0</v>
      </c>
      <c r="AR17" s="67">
        <v>147</v>
      </c>
      <c r="AS17" s="70">
        <v>0</v>
      </c>
      <c r="AT17" s="51" t="s">
        <v>46</v>
      </c>
      <c r="AU17" s="51"/>
      <c r="AV17" s="51"/>
      <c r="AW17" s="51"/>
      <c r="AX17" s="51"/>
      <c r="AY17" s="52"/>
      <c r="AZ17" s="170">
        <f>R21</f>
        <v>200</v>
      </c>
      <c r="BA17" s="180">
        <v>3.41</v>
      </c>
      <c r="BB17" s="174">
        <f>AZ17*BA17</f>
        <v>682</v>
      </c>
    </row>
    <row r="18" spans="1:54" ht="12.75">
      <c r="A18" s="45"/>
      <c r="B18" s="55"/>
      <c r="C18" s="53"/>
      <c r="D18" s="55"/>
      <c r="E18" s="55"/>
      <c r="F18" s="107" t="s">
        <v>109</v>
      </c>
      <c r="G18" s="55"/>
      <c r="H18" s="56"/>
      <c r="I18" s="60">
        <f>ROUND((I16+I17+I22),0)</f>
        <v>6265748</v>
      </c>
      <c r="J18" s="57">
        <v>1</v>
      </c>
      <c r="K18" s="45" t="s">
        <v>108</v>
      </c>
      <c r="L18" s="55"/>
      <c r="M18" s="55"/>
      <c r="N18" s="55"/>
      <c r="O18" s="55"/>
      <c r="P18" s="55"/>
      <c r="Q18" s="55"/>
      <c r="R18" s="56"/>
      <c r="S18" s="61" t="s">
        <v>53</v>
      </c>
      <c r="T18" s="63" t="s">
        <v>31</v>
      </c>
      <c r="U18" s="64"/>
      <c r="V18" s="64"/>
      <c r="W18" s="67">
        <f t="shared" si="0"/>
        <v>231807</v>
      </c>
      <c r="X18" s="81">
        <f>ROUND(I31,0)</f>
        <v>231807</v>
      </c>
      <c r="Y18" s="70">
        <v>0</v>
      </c>
      <c r="Z18" s="67">
        <v>0</v>
      </c>
      <c r="AA18" s="70">
        <v>0</v>
      </c>
      <c r="AB18" s="62" t="s">
        <v>52</v>
      </c>
      <c r="AC18" s="53" t="s">
        <v>61</v>
      </c>
      <c r="AD18" s="53"/>
      <c r="AE18" s="53"/>
      <c r="AF18" s="68">
        <f>AG18+AH18+AI18+AJ18</f>
        <v>2185</v>
      </c>
      <c r="AG18" s="71">
        <v>0</v>
      </c>
      <c r="AH18" s="71">
        <v>0</v>
      </c>
      <c r="AI18" s="68">
        <v>2185</v>
      </c>
      <c r="AJ18" s="207">
        <v>0</v>
      </c>
      <c r="AK18" s="61" t="s">
        <v>52</v>
      </c>
      <c r="AL18" s="63" t="s">
        <v>42</v>
      </c>
      <c r="AM18" s="64"/>
      <c r="AN18" s="65"/>
      <c r="AO18" s="67">
        <f>AP18+AQ18+AR18+AS18</f>
        <v>40953</v>
      </c>
      <c r="AP18" s="70">
        <v>0</v>
      </c>
      <c r="AQ18" s="70">
        <v>0</v>
      </c>
      <c r="AR18" s="67">
        <v>40953</v>
      </c>
      <c r="AS18" s="70">
        <v>0</v>
      </c>
      <c r="AT18" s="51" t="s">
        <v>47</v>
      </c>
      <c r="AU18" s="51"/>
      <c r="AV18" s="51"/>
      <c r="AW18" s="51"/>
      <c r="AX18" s="51"/>
      <c r="AY18" s="52"/>
      <c r="AZ18" s="170">
        <f>R22</f>
        <v>120</v>
      </c>
      <c r="BA18" s="180">
        <v>1.62</v>
      </c>
      <c r="BB18" s="174">
        <f>AZ18*BA18</f>
        <v>194.4</v>
      </c>
    </row>
    <row r="19" spans="1:54" ht="12.75">
      <c r="A19" s="44" t="s">
        <v>110</v>
      </c>
      <c r="B19" s="45" t="s">
        <v>230</v>
      </c>
      <c r="C19" s="55"/>
      <c r="D19" s="55"/>
      <c r="E19" s="55"/>
      <c r="F19" s="55"/>
      <c r="G19" s="55"/>
      <c r="H19" s="55"/>
      <c r="I19" s="56"/>
      <c r="J19" s="73" t="s">
        <v>110</v>
      </c>
      <c r="K19" s="48" t="s">
        <v>176</v>
      </c>
      <c r="L19" s="73">
        <v>16654</v>
      </c>
      <c r="M19" s="124">
        <v>7033</v>
      </c>
      <c r="N19" s="124">
        <v>7198</v>
      </c>
      <c r="O19" s="73">
        <v>1</v>
      </c>
      <c r="P19" s="148">
        <f>N19-M19</f>
        <v>165</v>
      </c>
      <c r="Q19" s="149"/>
      <c r="R19" s="75">
        <f>O19*P19+Q19</f>
        <v>165</v>
      </c>
      <c r="S19" s="61" t="s">
        <v>58</v>
      </c>
      <c r="T19" s="63" t="s">
        <v>32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53</v>
      </c>
      <c r="AL19" s="63" t="s">
        <v>63</v>
      </c>
      <c r="AM19" s="64"/>
      <c r="AN19" s="65"/>
      <c r="AO19" s="67">
        <f>AP19+AQ19+AR19+AS19</f>
        <v>338</v>
      </c>
      <c r="AP19" s="67">
        <v>0</v>
      </c>
      <c r="AQ19" s="70">
        <v>0</v>
      </c>
      <c r="AR19" s="67">
        <v>338</v>
      </c>
      <c r="AS19" s="70">
        <v>0</v>
      </c>
      <c r="AT19" s="51" t="s">
        <v>81</v>
      </c>
      <c r="AU19" s="51"/>
      <c r="AV19" s="51"/>
      <c r="AW19" s="51"/>
      <c r="AX19" s="51"/>
      <c r="AY19" s="52"/>
      <c r="AZ19" s="181">
        <f>R19+R20</f>
        <v>165</v>
      </c>
      <c r="BA19" s="175">
        <v>3</v>
      </c>
      <c r="BB19" s="174">
        <f>AZ19*BA19</f>
        <v>495</v>
      </c>
    </row>
    <row r="20" spans="1:54" ht="12.75">
      <c r="A20" s="44" t="s">
        <v>112</v>
      </c>
      <c r="B20" s="44" t="s">
        <v>113</v>
      </c>
      <c r="C20" s="106">
        <v>109053225</v>
      </c>
      <c r="D20" s="121">
        <v>20124.8468</v>
      </c>
      <c r="E20" s="121">
        <v>20226.8263</v>
      </c>
      <c r="F20" s="60">
        <v>21000</v>
      </c>
      <c r="G20" s="142">
        <f>E20-D20</f>
        <v>101.97950000000128</v>
      </c>
      <c r="H20" s="44"/>
      <c r="I20" s="233">
        <f>ROUND((F20*G20+H20),0)-1</f>
        <v>2141569</v>
      </c>
      <c r="J20" s="49"/>
      <c r="K20" s="49" t="s">
        <v>177</v>
      </c>
      <c r="L20" s="49"/>
      <c r="M20" s="49"/>
      <c r="N20" s="49"/>
      <c r="O20" s="49"/>
      <c r="P20" s="80"/>
      <c r="Q20" s="150"/>
      <c r="R20" s="166"/>
      <c r="S20" s="61" t="s">
        <v>62</v>
      </c>
      <c r="T20" s="63" t="s">
        <v>33</v>
      </c>
      <c r="U20" s="64"/>
      <c r="V20" s="64"/>
      <c r="W20" s="67">
        <f t="shared" si="0"/>
        <v>222592</v>
      </c>
      <c r="X20" s="81">
        <f>ROUND(I35,0)</f>
        <v>222592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58</v>
      </c>
      <c r="AL20" s="46" t="s">
        <v>279</v>
      </c>
      <c r="AM20" s="53"/>
      <c r="AN20" s="54"/>
      <c r="AO20" s="68">
        <f>AP20+AQ20+AR20+AS20</f>
        <v>3294</v>
      </c>
      <c r="AP20" s="68"/>
      <c r="AQ20" s="71"/>
      <c r="AR20" s="68">
        <v>3294</v>
      </c>
      <c r="AS20" s="71"/>
      <c r="AT20" s="51" t="s">
        <v>218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>
      <c r="A21" s="44" t="s">
        <v>259</v>
      </c>
      <c r="B21" s="55" t="s">
        <v>262</v>
      </c>
      <c r="C21" s="53"/>
      <c r="D21" s="55"/>
      <c r="E21" s="55"/>
      <c r="F21" s="107"/>
      <c r="G21" s="55"/>
      <c r="H21" s="56"/>
      <c r="I21" s="60"/>
      <c r="J21" s="48" t="s">
        <v>116</v>
      </c>
      <c r="K21" s="48" t="s">
        <v>179</v>
      </c>
      <c r="L21" s="225">
        <v>122848480</v>
      </c>
      <c r="M21" s="224">
        <v>586</v>
      </c>
      <c r="N21" s="224">
        <v>596</v>
      </c>
      <c r="O21" s="57">
        <v>20</v>
      </c>
      <c r="P21" s="223">
        <f>N21-M21</f>
        <v>10</v>
      </c>
      <c r="Q21" s="151"/>
      <c r="R21" s="60">
        <f>O21*P21+Q21</f>
        <v>200</v>
      </c>
      <c r="S21" s="61" t="s">
        <v>65</v>
      </c>
      <c r="T21" s="63" t="s">
        <v>34</v>
      </c>
      <c r="U21" s="64"/>
      <c r="V21" s="64"/>
      <c r="W21" s="67">
        <f t="shared" si="0"/>
        <v>147650</v>
      </c>
      <c r="X21" s="81">
        <f>ROUND(I37,0)</f>
        <v>147650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>
      <c r="A22" s="44" t="s">
        <v>260</v>
      </c>
      <c r="B22" s="45" t="s">
        <v>263</v>
      </c>
      <c r="C22" s="55"/>
      <c r="D22" s="55"/>
      <c r="E22" s="55"/>
      <c r="F22" s="55"/>
      <c r="G22" s="55"/>
      <c r="H22" s="56"/>
      <c r="I22" s="229">
        <v>65050</v>
      </c>
      <c r="J22" s="49"/>
      <c r="K22" s="49" t="s">
        <v>178</v>
      </c>
      <c r="L22" s="225">
        <v>122848480</v>
      </c>
      <c r="M22" s="224">
        <v>158</v>
      </c>
      <c r="N22" s="224">
        <v>164</v>
      </c>
      <c r="O22" s="57">
        <v>20</v>
      </c>
      <c r="P22" s="223">
        <f>N22-M22</f>
        <v>6</v>
      </c>
      <c r="Q22" s="151"/>
      <c r="R22" s="60">
        <f>O22*P22+Q22</f>
        <v>120</v>
      </c>
      <c r="S22" s="61" t="s">
        <v>66</v>
      </c>
      <c r="T22" s="63" t="s">
        <v>35</v>
      </c>
      <c r="U22" s="64"/>
      <c r="V22" s="64"/>
      <c r="W22" s="67">
        <f t="shared" si="0"/>
        <v>180579</v>
      </c>
      <c r="X22" s="81">
        <f>ROUND(I39,0)</f>
        <v>180579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164</v>
      </c>
      <c r="Q23" s="137"/>
      <c r="R23" s="60">
        <f>R19+R21+R22+R20</f>
        <v>485</v>
      </c>
      <c r="S23" s="61" t="s">
        <v>67</v>
      </c>
      <c r="T23" s="63" t="s">
        <v>36</v>
      </c>
      <c r="U23" s="64"/>
      <c r="V23" s="64"/>
      <c r="W23" s="67">
        <f t="shared" si="0"/>
        <v>231230</v>
      </c>
      <c r="X23" s="81">
        <v>0</v>
      </c>
      <c r="Y23" s="70">
        <v>0</v>
      </c>
      <c r="Z23" s="67">
        <f>I26+I25</f>
        <v>231230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>
      <c r="A24" s="44" t="s">
        <v>116</v>
      </c>
      <c r="B24" s="46" t="s">
        <v>117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68</v>
      </c>
      <c r="T24" s="64" t="s">
        <v>37</v>
      </c>
      <c r="U24" s="64"/>
      <c r="V24" s="64"/>
      <c r="W24" s="67">
        <f t="shared" si="0"/>
        <v>30412</v>
      </c>
      <c r="X24" s="81">
        <v>0</v>
      </c>
      <c r="Y24" s="70">
        <v>0</v>
      </c>
      <c r="Z24" s="67">
        <f>I41</f>
        <v>30412</v>
      </c>
      <c r="AA24" s="70">
        <v>0</v>
      </c>
      <c r="AB24" s="58"/>
      <c r="AC24" s="47" t="s">
        <v>87</v>
      </c>
      <c r="AD24" s="47"/>
      <c r="AE24" s="47"/>
      <c r="AF24" s="59"/>
      <c r="AG24" s="59"/>
      <c r="AH24" s="59"/>
      <c r="AI24" s="59"/>
      <c r="AJ24" s="59"/>
      <c r="AK24" s="58"/>
      <c r="AL24" s="47" t="s">
        <v>167</v>
      </c>
      <c r="AM24" s="47"/>
      <c r="AN24" s="47"/>
      <c r="AO24" s="59"/>
      <c r="AP24" s="59"/>
      <c r="AQ24" s="59"/>
      <c r="AR24" s="59"/>
      <c r="AS24" s="59"/>
      <c r="AT24" s="152" t="s">
        <v>45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>
      <c r="A25" s="48" t="s">
        <v>118</v>
      </c>
      <c r="B25" s="48" t="s">
        <v>121</v>
      </c>
      <c r="C25" s="90"/>
      <c r="D25" s="212"/>
      <c r="E25" s="212"/>
      <c r="F25" s="68"/>
      <c r="G25" s="213"/>
      <c r="H25" s="68"/>
      <c r="I25" s="68"/>
      <c r="J25" s="63" t="s">
        <v>165</v>
      </c>
      <c r="K25" s="64"/>
      <c r="L25" s="64"/>
      <c r="M25" s="64"/>
      <c r="N25" s="64"/>
      <c r="O25" s="64"/>
      <c r="P25" s="85"/>
      <c r="Q25" s="128"/>
      <c r="R25" s="141"/>
      <c r="S25" s="61" t="s">
        <v>69</v>
      </c>
      <c r="T25" s="64" t="s">
        <v>38</v>
      </c>
      <c r="U25" s="64"/>
      <c r="V25" s="64"/>
      <c r="W25" s="67">
        <f t="shared" si="0"/>
        <v>13581</v>
      </c>
      <c r="X25" s="81">
        <v>0</v>
      </c>
      <c r="Y25" s="70">
        <v>0</v>
      </c>
      <c r="Z25" s="67">
        <f>I43</f>
        <v>13581</v>
      </c>
      <c r="AA25" s="70">
        <v>0</v>
      </c>
      <c r="AB25" s="58"/>
      <c r="AC25" s="47" t="s">
        <v>270</v>
      </c>
      <c r="AD25" s="47"/>
      <c r="AE25" s="47"/>
      <c r="AF25" s="47"/>
      <c r="AG25" s="47"/>
      <c r="AH25" s="47"/>
      <c r="AI25" s="47"/>
      <c r="AJ25" s="47"/>
      <c r="AK25" s="58"/>
      <c r="AL25" s="47" t="s">
        <v>270</v>
      </c>
      <c r="AM25" s="47"/>
      <c r="AN25" s="47"/>
      <c r="AO25" s="47"/>
      <c r="AP25" s="47"/>
      <c r="AQ25" s="47"/>
      <c r="AR25" s="47"/>
      <c r="AS25" s="47"/>
      <c r="AT25" s="46" t="s">
        <v>82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>
      <c r="A26" s="49"/>
      <c r="B26" s="49" t="s">
        <v>119</v>
      </c>
      <c r="C26" s="91">
        <v>109056121</v>
      </c>
      <c r="D26" s="212">
        <v>22431.5553</v>
      </c>
      <c r="E26" s="212">
        <v>22479.7283</v>
      </c>
      <c r="F26" s="68">
        <v>4800</v>
      </c>
      <c r="G26" s="213">
        <f aca="true" t="shared" si="1" ref="G26:G43">E26-D26</f>
        <v>48.172999999998865</v>
      </c>
      <c r="H26" s="68"/>
      <c r="I26" s="68">
        <f>ROUND(F26*G26+H26,0)</f>
        <v>231230</v>
      </c>
      <c r="J26" s="114" t="s">
        <v>290</v>
      </c>
      <c r="K26" s="115"/>
      <c r="L26" s="115"/>
      <c r="M26" s="86"/>
      <c r="N26" s="53"/>
      <c r="O26" s="53"/>
      <c r="P26" s="53"/>
      <c r="Q26" s="53"/>
      <c r="R26" s="102"/>
      <c r="S26" s="62" t="s">
        <v>70</v>
      </c>
      <c r="T26" s="53" t="s">
        <v>39</v>
      </c>
      <c r="U26" s="53"/>
      <c r="V26" s="53"/>
      <c r="W26" s="68">
        <f>SUM(X26:AA26)</f>
        <v>5188</v>
      </c>
      <c r="X26" s="82">
        <v>0</v>
      </c>
      <c r="Y26" s="71">
        <v>0</v>
      </c>
      <c r="Z26" s="68">
        <f>I45+I46</f>
        <v>5188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83</v>
      </c>
      <c r="AU26" s="55"/>
      <c r="AV26" s="55"/>
      <c r="AW26" s="55"/>
      <c r="AX26" s="64"/>
      <c r="AY26" s="65"/>
      <c r="AZ26" s="185">
        <f>(X14+AG14+AP14)/1000</f>
        <v>3298.754</v>
      </c>
      <c r="BA26" s="169">
        <v>16</v>
      </c>
      <c r="BB26" s="174">
        <f>AZ26*BA26</f>
        <v>52780.064</v>
      </c>
    </row>
    <row r="27" spans="1:54" ht="12.75">
      <c r="A27" s="48" t="s">
        <v>120</v>
      </c>
      <c r="B27" s="48" t="s">
        <v>132</v>
      </c>
      <c r="C27" s="90">
        <v>623125232</v>
      </c>
      <c r="D27" s="214">
        <v>9591.2387</v>
      </c>
      <c r="E27" s="214">
        <v>9652.2082</v>
      </c>
      <c r="F27" s="75">
        <v>1800</v>
      </c>
      <c r="G27" s="215">
        <f t="shared" si="1"/>
        <v>60.96949999999924</v>
      </c>
      <c r="H27" s="73"/>
      <c r="I27" s="75">
        <f>ROUND(G27*F27,0)</f>
        <v>109745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84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>
      <c r="A28" s="49"/>
      <c r="B28" s="49" t="s">
        <v>119</v>
      </c>
      <c r="C28" s="71"/>
      <c r="D28" s="119"/>
      <c r="E28" s="119"/>
      <c r="F28" s="68"/>
      <c r="G28" s="118"/>
      <c r="H28" s="71"/>
      <c r="I28" s="68"/>
      <c r="J28" s="64" t="s">
        <v>168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224</v>
      </c>
      <c r="AC28" s="47"/>
      <c r="AD28" s="47"/>
      <c r="AE28" s="47"/>
      <c r="AF28" s="47"/>
      <c r="AG28" s="47" t="s">
        <v>225</v>
      </c>
      <c r="AH28" s="47"/>
      <c r="AI28" s="47" t="s">
        <v>226</v>
      </c>
      <c r="AJ28" s="47"/>
      <c r="AK28" s="47" t="s">
        <v>224</v>
      </c>
      <c r="AL28" s="47"/>
      <c r="AM28" s="47"/>
      <c r="AN28" s="47"/>
      <c r="AO28" s="47"/>
      <c r="AP28" s="47" t="s">
        <v>56</v>
      </c>
      <c r="AQ28" s="47"/>
      <c r="AR28" s="47" t="s">
        <v>57</v>
      </c>
      <c r="AS28" s="47"/>
      <c r="AT28" s="63" t="s">
        <v>85</v>
      </c>
      <c r="AU28" s="64"/>
      <c r="AV28" s="64"/>
      <c r="AW28" s="64"/>
      <c r="AX28" s="51"/>
      <c r="AY28" s="52"/>
      <c r="AZ28" s="185">
        <f>(Z14+AI14+AR14)/1000</f>
        <v>329.749</v>
      </c>
      <c r="BA28" s="169">
        <v>16</v>
      </c>
      <c r="BB28" s="174">
        <f>AZ28*BA28</f>
        <v>5275.984</v>
      </c>
    </row>
    <row r="29" spans="1:54" ht="12.75">
      <c r="A29" s="48" t="s">
        <v>122</v>
      </c>
      <c r="B29" s="48" t="s">
        <v>133</v>
      </c>
      <c r="C29" s="90">
        <v>623125667</v>
      </c>
      <c r="D29" s="214">
        <v>12133.7831</v>
      </c>
      <c r="E29" s="214">
        <v>12197.7388</v>
      </c>
      <c r="F29" s="75">
        <v>1800</v>
      </c>
      <c r="G29" s="215">
        <f t="shared" si="1"/>
        <v>63.955699999998615</v>
      </c>
      <c r="H29" s="73"/>
      <c r="I29" s="75">
        <f>ROUND(G29*F29,0)</f>
        <v>115120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291</v>
      </c>
      <c r="AC29" s="47"/>
      <c r="AD29" s="47"/>
      <c r="AE29" s="47"/>
      <c r="AF29" s="47"/>
      <c r="AG29" s="47" t="s">
        <v>55</v>
      </c>
      <c r="AH29" s="47"/>
      <c r="AI29" s="47"/>
      <c r="AJ29" s="47"/>
      <c r="AK29" s="47" t="s">
        <v>291</v>
      </c>
      <c r="AL29" s="47"/>
      <c r="AM29" s="47"/>
      <c r="AN29" s="47"/>
      <c r="AO29" s="47"/>
      <c r="AP29" s="47" t="s">
        <v>55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>
      <c r="A30" s="49"/>
      <c r="B30" s="49" t="s">
        <v>119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>
      <c r="A31" s="48" t="s">
        <v>123</v>
      </c>
      <c r="B31" s="48" t="s">
        <v>134</v>
      </c>
      <c r="C31" s="90">
        <v>623126370</v>
      </c>
      <c r="D31" s="214">
        <v>3261.1157</v>
      </c>
      <c r="E31" s="214">
        <v>3309.4089</v>
      </c>
      <c r="F31" s="75">
        <v>4800</v>
      </c>
      <c r="G31" s="215">
        <f t="shared" si="1"/>
        <v>48.29320000000007</v>
      </c>
      <c r="H31" s="73"/>
      <c r="I31" s="75">
        <f>ROUND(G31*F31,0)</f>
        <v>231807</v>
      </c>
      <c r="J31" s="64"/>
      <c r="K31" s="64"/>
      <c r="L31" s="154"/>
      <c r="M31" s="78"/>
      <c r="N31" s="155" t="s">
        <v>169</v>
      </c>
      <c r="O31" s="155"/>
      <c r="P31" s="83"/>
      <c r="Q31" s="64"/>
      <c r="R31" s="85"/>
      <c r="S31" s="47" t="s">
        <v>224</v>
      </c>
      <c r="T31" s="47"/>
      <c r="U31" s="47"/>
      <c r="V31" s="47"/>
      <c r="W31" s="47"/>
      <c r="X31" s="47" t="s">
        <v>225</v>
      </c>
      <c r="Y31" s="47"/>
      <c r="Z31" s="47" t="s">
        <v>226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>
      <c r="A32" s="49"/>
      <c r="B32" s="49" t="s">
        <v>119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266</v>
      </c>
      <c r="O32" s="155"/>
      <c r="P32" s="83"/>
      <c r="Q32" s="64"/>
      <c r="R32" s="85"/>
      <c r="S32" s="47" t="s">
        <v>291</v>
      </c>
      <c r="T32" s="47"/>
      <c r="U32" s="47"/>
      <c r="V32" s="47"/>
      <c r="W32" s="47"/>
      <c r="X32" s="47" t="s">
        <v>55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222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>
      <c r="A33" s="48" t="s">
        <v>124</v>
      </c>
      <c r="B33" s="48" t="s">
        <v>135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291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54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220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>
      <c r="A34" s="49"/>
      <c r="B34" s="49" t="s">
        <v>119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54</v>
      </c>
      <c r="AL34" s="47"/>
      <c r="AM34" s="47"/>
      <c r="AN34" s="47"/>
      <c r="AO34" s="47"/>
      <c r="AP34" s="47"/>
      <c r="AQ34" s="47"/>
      <c r="AR34" s="47"/>
      <c r="AS34" s="47"/>
      <c r="AT34" s="50" t="s">
        <v>223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>
      <c r="A35" s="48" t="s">
        <v>125</v>
      </c>
      <c r="B35" s="48" t="s">
        <v>136</v>
      </c>
      <c r="C35" s="90">
        <v>623125142</v>
      </c>
      <c r="D35" s="214">
        <v>16016.4922</v>
      </c>
      <c r="E35" s="214">
        <v>16109.2389</v>
      </c>
      <c r="F35" s="75">
        <v>2400</v>
      </c>
      <c r="G35" s="215">
        <f t="shared" si="1"/>
        <v>92.74669999999969</v>
      </c>
      <c r="H35" s="73"/>
      <c r="I35" s="75">
        <f>ROUND(G35*F35,0)</f>
        <v>222592</v>
      </c>
      <c r="J35" s="64"/>
      <c r="K35" s="64"/>
      <c r="L35" s="154"/>
      <c r="M35" s="78"/>
      <c r="N35" s="156" t="s">
        <v>171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71</v>
      </c>
      <c r="AC35" s="47"/>
      <c r="AD35" s="47"/>
      <c r="AE35" s="47"/>
      <c r="AF35" s="47"/>
      <c r="AG35" s="47" t="s">
        <v>41</v>
      </c>
      <c r="AH35" s="47"/>
      <c r="AI35" s="47" t="s">
        <v>40</v>
      </c>
      <c r="AJ35" s="47"/>
      <c r="AK35" s="47" t="s">
        <v>227</v>
      </c>
      <c r="AL35" s="47"/>
      <c r="AM35" s="47"/>
      <c r="AN35" s="47"/>
      <c r="AO35" s="47"/>
      <c r="AP35" s="47"/>
      <c r="AQ35" s="47" t="s">
        <v>228</v>
      </c>
      <c r="AR35" s="47"/>
      <c r="AS35" s="47"/>
      <c r="AT35" s="50" t="s">
        <v>220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>
      <c r="A36" s="49"/>
      <c r="B36" s="49" t="s">
        <v>119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170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86</v>
      </c>
      <c r="AC36" s="47"/>
      <c r="AD36" s="47"/>
      <c r="AE36" s="47"/>
      <c r="AF36" s="47"/>
      <c r="AG36" s="47" t="s">
        <v>55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55</v>
      </c>
      <c r="AR36" s="47"/>
      <c r="AS36" s="47"/>
      <c r="AT36" s="50" t="s">
        <v>220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>
      <c r="A37" s="48" t="s">
        <v>126</v>
      </c>
      <c r="B37" s="48" t="s">
        <v>137</v>
      </c>
      <c r="C37" s="90">
        <v>623125205</v>
      </c>
      <c r="D37" s="214">
        <v>5894.6713</v>
      </c>
      <c r="E37" s="214">
        <v>5976.6987</v>
      </c>
      <c r="F37" s="75">
        <v>1800</v>
      </c>
      <c r="G37" s="215">
        <f t="shared" si="1"/>
        <v>82.02739999999994</v>
      </c>
      <c r="H37" s="73"/>
      <c r="I37" s="234">
        <f>ROUND(G37*F37,0)+1</f>
        <v>147650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286</v>
      </c>
      <c r="T37" s="47"/>
      <c r="U37" s="47"/>
      <c r="V37" s="47"/>
      <c r="W37" s="47"/>
      <c r="X37" s="47" t="s">
        <v>225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185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>
      <c r="A38" s="49"/>
      <c r="B38" s="49" t="s">
        <v>119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55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220</v>
      </c>
      <c r="AU38" s="51"/>
      <c r="AV38" s="51" t="s">
        <v>25</v>
      </c>
      <c r="AW38" s="51"/>
      <c r="AX38" s="51"/>
      <c r="AY38" s="52"/>
      <c r="AZ38" s="170"/>
      <c r="BA38" s="182"/>
      <c r="BB38" s="169"/>
    </row>
    <row r="39" spans="1:54" ht="12.75">
      <c r="A39" s="48" t="s">
        <v>127</v>
      </c>
      <c r="B39" s="48" t="s">
        <v>138</v>
      </c>
      <c r="C39" s="90">
        <v>623123704</v>
      </c>
      <c r="D39" s="214">
        <v>10653.8207</v>
      </c>
      <c r="E39" s="214">
        <v>10754.1424</v>
      </c>
      <c r="F39" s="75">
        <v>1800</v>
      </c>
      <c r="G39" s="215">
        <f t="shared" si="1"/>
        <v>100.32170000000042</v>
      </c>
      <c r="H39" s="73"/>
      <c r="I39" s="75">
        <f>ROUND(G39*F39,0)</f>
        <v>180579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221</v>
      </c>
      <c r="AU39" s="51"/>
      <c r="AV39" s="51" t="s">
        <v>218</v>
      </c>
      <c r="AW39" s="51"/>
      <c r="AX39" s="51"/>
      <c r="AY39" s="52"/>
      <c r="AZ39" s="170"/>
      <c r="BA39" s="182"/>
      <c r="BB39" s="169"/>
    </row>
    <row r="40" spans="1:54" ht="12.75">
      <c r="A40" s="49"/>
      <c r="B40" s="49" t="s">
        <v>119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>
      <c r="A41" s="48" t="s">
        <v>128</v>
      </c>
      <c r="B41" s="48" t="s">
        <v>139</v>
      </c>
      <c r="C41" s="90">
        <v>623125794</v>
      </c>
      <c r="D41" s="214">
        <v>287.8241</v>
      </c>
      <c r="E41" s="214">
        <v>304.7194</v>
      </c>
      <c r="F41" s="75">
        <v>1800</v>
      </c>
      <c r="G41" s="215">
        <f t="shared" si="1"/>
        <v>16.89530000000002</v>
      </c>
      <c r="H41" s="73"/>
      <c r="I41" s="75">
        <f>ROUND(G41*F41,0)</f>
        <v>30412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>
      <c r="A42" s="49"/>
      <c r="B42" s="49" t="s">
        <v>119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>
      <c r="A43" s="48" t="s">
        <v>129</v>
      </c>
      <c r="B43" s="48" t="s">
        <v>140</v>
      </c>
      <c r="C43" s="90">
        <v>623125736</v>
      </c>
      <c r="D43" s="214">
        <v>5335.6047</v>
      </c>
      <c r="E43" s="214">
        <v>5346.9218</v>
      </c>
      <c r="F43" s="75">
        <v>1200</v>
      </c>
      <c r="G43" s="215">
        <f t="shared" si="1"/>
        <v>11.31710000000021</v>
      </c>
      <c r="H43" s="73"/>
      <c r="I43" s="234">
        <f>ROUND(G43*F43,0)</f>
        <v>13581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185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>
      <c r="A44" s="49"/>
      <c r="B44" s="49" t="s">
        <v>119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>
      <c r="A45" s="48" t="s">
        <v>130</v>
      </c>
      <c r="B45" s="50" t="s">
        <v>131</v>
      </c>
      <c r="C45" s="90">
        <v>1110171156</v>
      </c>
      <c r="D45" s="214">
        <v>18252.6288</v>
      </c>
      <c r="E45" s="214">
        <v>18382.3284</v>
      </c>
      <c r="F45" s="75">
        <v>40</v>
      </c>
      <c r="G45" s="215">
        <f>E45-D45</f>
        <v>129.69959999999992</v>
      </c>
      <c r="H45" s="73"/>
      <c r="I45" s="75">
        <f>ROUND(G45*F45,0)</f>
        <v>5188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>
      <c r="A46" s="49"/>
      <c r="B46" s="46" t="s">
        <v>119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189</v>
      </c>
      <c r="AW46" s="51"/>
      <c r="AX46" s="51"/>
      <c r="AY46" s="52"/>
      <c r="AZ46" s="170"/>
      <c r="BA46" s="187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141</v>
      </c>
      <c r="H47" s="56"/>
      <c r="I47" s="125">
        <f>ROUND((SUM(I25:I46)+I20),0)</f>
        <v>3429473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>
      <c r="A48" s="48" t="s">
        <v>144</v>
      </c>
      <c r="B48" s="50" t="s">
        <v>142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>
      <c r="A49" s="74"/>
      <c r="B49" s="63" t="s">
        <v>143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189</v>
      </c>
      <c r="AW49" s="51"/>
      <c r="AX49" s="51"/>
      <c r="AY49" s="52"/>
      <c r="AZ49" s="170"/>
      <c r="BA49" s="182"/>
      <c r="BB49" s="169"/>
    </row>
    <row r="50" spans="1:54" ht="12.75">
      <c r="A50" s="50" t="s">
        <v>145</v>
      </c>
      <c r="B50" s="48" t="s">
        <v>235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271</v>
      </c>
      <c r="AW50" s="55"/>
      <c r="AX50" s="55"/>
      <c r="AY50" s="56"/>
      <c r="AZ50" s="170"/>
      <c r="BA50" s="182"/>
      <c r="BB50" s="169"/>
    </row>
    <row r="51" spans="1:54" ht="12.75">
      <c r="A51" s="63"/>
      <c r="B51" s="74"/>
      <c r="C51" s="194">
        <v>611127627</v>
      </c>
      <c r="D51" s="191">
        <v>6610.1036</v>
      </c>
      <c r="E51" s="191">
        <v>6667.336</v>
      </c>
      <c r="F51" s="60">
        <v>40</v>
      </c>
      <c r="G51" s="142">
        <f>E51-D51</f>
        <v>57.23239999999987</v>
      </c>
      <c r="H51" s="60"/>
      <c r="I51" s="60">
        <f>ROUND(F51*G51+H51,0)</f>
        <v>2289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231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148</v>
      </c>
      <c r="B53" s="65"/>
      <c r="C53" s="106">
        <v>810120245</v>
      </c>
      <c r="D53" s="191">
        <v>3810.929</v>
      </c>
      <c r="E53" s="191">
        <v>3813.195</v>
      </c>
      <c r="F53" s="60">
        <v>3600</v>
      </c>
      <c r="G53" s="142">
        <f>E53-D53</f>
        <v>2.2660000000000764</v>
      </c>
      <c r="H53" s="60"/>
      <c r="I53" s="60">
        <f>ROUND(F53*G53+H53,0)</f>
        <v>8158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319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245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4645.5784</v>
      </c>
      <c r="E55" s="121">
        <v>4684.9037</v>
      </c>
      <c r="F55" s="60">
        <v>3600</v>
      </c>
      <c r="G55" s="143">
        <f>E55-D55</f>
        <v>39.325299999999515</v>
      </c>
      <c r="H55" s="44"/>
      <c r="I55" s="233">
        <f>ROUND(F55*G55+H55,0)+1</f>
        <v>141572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149</v>
      </c>
      <c r="B57" s="48" t="s">
        <v>115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6"/>
      <c r="B58" s="74" t="s">
        <v>114</v>
      </c>
      <c r="C58" s="194">
        <v>611127492</v>
      </c>
      <c r="D58" s="191">
        <v>23105.5468</v>
      </c>
      <c r="E58" s="191">
        <v>23214.1432</v>
      </c>
      <c r="F58" s="60">
        <v>20</v>
      </c>
      <c r="G58" s="142">
        <f>E58-D58</f>
        <v>108.59639999999854</v>
      </c>
      <c r="H58" s="60"/>
      <c r="I58" s="233">
        <f>ROUND(F58*G58+H58,0)-1</f>
        <v>2171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49</v>
      </c>
      <c r="AW58" s="47"/>
      <c r="AX58" s="47"/>
      <c r="AY58" s="47"/>
      <c r="AZ58" s="47"/>
      <c r="BA58" s="47"/>
      <c r="BB58" s="162">
        <f>BA9</f>
        <v>3.0301655006037693</v>
      </c>
    </row>
    <row r="59" spans="1:54" ht="12.75">
      <c r="A59" s="50" t="s">
        <v>150</v>
      </c>
      <c r="B59" s="48" t="s">
        <v>236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7"/>
      <c r="B60" s="70" t="s">
        <v>281</v>
      </c>
      <c r="C60" s="194">
        <v>611127702</v>
      </c>
      <c r="D60" s="191">
        <v>34060.586</v>
      </c>
      <c r="E60" s="191">
        <v>34384.6876</v>
      </c>
      <c r="F60" s="60">
        <v>60</v>
      </c>
      <c r="G60" s="142">
        <f>E60-D60</f>
        <v>324.1015999999945</v>
      </c>
      <c r="H60" s="44"/>
      <c r="I60" s="60">
        <f>ROUND(F60*G60+H60,0)</f>
        <v>19446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282</v>
      </c>
      <c r="C61" s="194">
        <v>611127555</v>
      </c>
      <c r="D61" s="191">
        <v>15327.0976</v>
      </c>
      <c r="E61" s="191">
        <v>15683.0528</v>
      </c>
      <c r="F61" s="60">
        <v>60</v>
      </c>
      <c r="G61" s="142">
        <f>E61-D61</f>
        <v>355.95520000000033</v>
      </c>
      <c r="H61" s="44"/>
      <c r="I61" s="233">
        <f>ROUND(F61*G61+H61,0)+1</f>
        <v>21358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151</v>
      </c>
      <c r="B62" s="48" t="s">
        <v>237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7"/>
      <c r="B63" s="74"/>
      <c r="C63" s="194">
        <v>1110171163</v>
      </c>
      <c r="D63" s="191">
        <v>1417.8284</v>
      </c>
      <c r="E63" s="191">
        <v>1420.2848</v>
      </c>
      <c r="F63" s="60">
        <v>60</v>
      </c>
      <c r="G63" s="142">
        <f>E63-D63</f>
        <v>2.456399999999803</v>
      </c>
      <c r="H63" s="44"/>
      <c r="I63" s="60">
        <f>ROUND(F63*G63+H63,0)</f>
        <v>147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152</v>
      </c>
      <c r="B65" s="48" t="s">
        <v>238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4">
        <v>1110171170</v>
      </c>
      <c r="D66" s="191">
        <v>222.3076</v>
      </c>
      <c r="E66" s="191">
        <v>225.7744</v>
      </c>
      <c r="F66" s="60">
        <v>40</v>
      </c>
      <c r="G66" s="142">
        <f>E66-D66</f>
        <v>3.4668000000000063</v>
      </c>
      <c r="H66" s="60"/>
      <c r="I66" s="60">
        <f>ROUND(F66*G66+H66,0)</f>
        <v>139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153</v>
      </c>
      <c r="B68" s="48" t="s">
        <v>283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284</v>
      </c>
      <c r="C69" s="194">
        <v>611126404</v>
      </c>
      <c r="D69" s="191">
        <v>639.4267</v>
      </c>
      <c r="E69" s="191">
        <v>641.4448</v>
      </c>
      <c r="F69" s="60">
        <v>1800</v>
      </c>
      <c r="G69" s="142">
        <f>E69-D69</f>
        <v>2.018100000000004</v>
      </c>
      <c r="H69" s="60"/>
      <c r="I69" s="60">
        <f>ROUND((F69*G69+H69),0)</f>
        <v>3633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247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233</v>
      </c>
      <c r="B71" s="74" t="s">
        <v>239</v>
      </c>
      <c r="C71" s="194">
        <v>611127724</v>
      </c>
      <c r="D71" s="191">
        <v>2108.7696</v>
      </c>
      <c r="E71" s="191">
        <v>2120.0336</v>
      </c>
      <c r="F71" s="60">
        <v>30</v>
      </c>
      <c r="G71" s="142">
        <f>E71-D71</f>
        <v>11.264000000000124</v>
      </c>
      <c r="H71" s="60"/>
      <c r="I71" s="60">
        <f>ROUND(F71*G71+H71,0)</f>
        <v>338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277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154</v>
      </c>
      <c r="G74" s="55"/>
      <c r="H74" s="56"/>
      <c r="I74" s="125">
        <f>ROUND((SUM(I50:I69)-I73),0)</f>
        <v>198913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155</v>
      </c>
      <c r="H75" s="56"/>
      <c r="I75" s="125">
        <f>ROUND((I18+I20-I47-I74),0)</f>
        <v>4778931</v>
      </c>
      <c r="J75" s="64"/>
      <c r="K75" s="64">
        <f>I18+I20+I22-I47-I74</f>
        <v>4843981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162</v>
      </c>
      <c r="B76" s="45" t="s">
        <v>156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160</v>
      </c>
      <c r="B77" s="48" t="s">
        <v>157</v>
      </c>
      <c r="C77" s="73">
        <v>18705639</v>
      </c>
      <c r="D77" s="124">
        <v>20161</v>
      </c>
      <c r="E77" s="124">
        <v>20209</v>
      </c>
      <c r="F77" s="75">
        <v>30</v>
      </c>
      <c r="G77" s="211">
        <f>E77-D77</f>
        <v>48</v>
      </c>
      <c r="H77" s="235">
        <v>1255</v>
      </c>
      <c r="I77" s="75">
        <f>F77*G77+H77</f>
        <v>2695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158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161</v>
      </c>
      <c r="B79" s="48" t="s">
        <v>159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158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163</v>
      </c>
      <c r="G81" s="111"/>
      <c r="H81" s="56"/>
      <c r="I81" s="60">
        <f>I77+I79</f>
        <v>2695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164</v>
      </c>
      <c r="H82" s="56"/>
      <c r="I82" s="125">
        <f>I75+I81</f>
        <v>4781626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165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290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168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2" t="s">
        <v>169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2" t="s">
        <v>268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2" t="s">
        <v>291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90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267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91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272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44</v>
      </c>
      <c r="AZ91" s="89" t="s">
        <v>295</v>
      </c>
      <c r="BA91" s="47"/>
      <c r="BB91" s="47"/>
    </row>
    <row r="92" spans="1:54" ht="12.75">
      <c r="A92" s="47"/>
      <c r="B92" s="47"/>
      <c r="C92" s="47" t="s">
        <v>92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26</v>
      </c>
      <c r="AU92" s="55"/>
      <c r="AV92" s="55"/>
      <c r="AW92" s="55"/>
      <c r="AX92" s="55"/>
      <c r="AY92" s="56"/>
      <c r="AZ92" s="44" t="s">
        <v>75</v>
      </c>
      <c r="BA92" s="44"/>
      <c r="BB92" s="44" t="s">
        <v>27</v>
      </c>
    </row>
    <row r="93" spans="1:54" ht="12.75">
      <c r="A93" s="47"/>
      <c r="B93" s="47"/>
      <c r="C93" s="47"/>
      <c r="D93" s="167" t="s">
        <v>318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182</v>
      </c>
      <c r="AU93" s="55"/>
      <c r="AV93" s="55"/>
      <c r="AW93" s="55"/>
      <c r="AX93" s="55"/>
      <c r="AY93" s="56"/>
      <c r="AZ93" s="125">
        <v>75227</v>
      </c>
      <c r="BA93" s="92"/>
      <c r="BB93" s="188">
        <f>AZ93*BB58</f>
        <v>227950.26011391976</v>
      </c>
    </row>
    <row r="94" spans="1:54" ht="12.75">
      <c r="A94" s="47" t="s">
        <v>265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181</v>
      </c>
      <c r="AU94" s="55"/>
      <c r="AV94" s="55"/>
      <c r="AW94" s="55"/>
      <c r="AX94" s="55"/>
      <c r="AY94" s="56"/>
      <c r="AZ94" s="125">
        <f>AZ131-SUM(AZ112:AZ120)-AZ109-AZ103-AZ96-AZ95-AZ93</f>
        <v>3877360</v>
      </c>
      <c r="BA94" s="92"/>
      <c r="BB94" s="188">
        <f>AZ94*BB58</f>
        <v>11749042.505421031</v>
      </c>
    </row>
    <row r="95" spans="1:54" ht="12.75">
      <c r="A95" s="47" t="s">
        <v>93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274</v>
      </c>
      <c r="AU95" s="55"/>
      <c r="AV95" s="55"/>
      <c r="AW95" s="55"/>
      <c r="AX95" s="55"/>
      <c r="AY95" s="56"/>
      <c r="AZ95" s="125">
        <v>86609</v>
      </c>
      <c r="BA95" s="92"/>
      <c r="BB95" s="188">
        <f>AZ95*BB58</f>
        <v>262439.60384179186</v>
      </c>
    </row>
    <row r="96" spans="1:54" ht="12.75">
      <c r="A96" s="47" t="s">
        <v>95</v>
      </c>
      <c r="B96" s="47"/>
      <c r="C96" s="47"/>
      <c r="D96" s="47"/>
      <c r="E96" s="47"/>
      <c r="F96" s="47" t="s">
        <v>94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17</v>
      </c>
      <c r="AU96" s="51"/>
      <c r="AV96" s="51"/>
      <c r="AW96" s="51"/>
      <c r="AX96" s="51"/>
      <c r="AY96" s="52"/>
      <c r="AZ96" s="189">
        <f>SUM(AZ97:AZ102)</f>
        <v>613554</v>
      </c>
      <c r="BA96" s="95"/>
      <c r="BB96" s="188">
        <f>AZ96*BB58</f>
        <v>1859170.1635574452</v>
      </c>
    </row>
    <row r="97" spans="1:54" ht="12.75">
      <c r="A97" s="48" t="s">
        <v>190</v>
      </c>
      <c r="B97" s="73" t="s">
        <v>96</v>
      </c>
      <c r="C97" s="48" t="s">
        <v>97</v>
      </c>
      <c r="D97" s="116" t="s">
        <v>172</v>
      </c>
      <c r="E97" s="117"/>
      <c r="F97" s="48" t="s">
        <v>98</v>
      </c>
      <c r="G97" s="48" t="s">
        <v>213</v>
      </c>
      <c r="H97" s="48" t="s">
        <v>99</v>
      </c>
      <c r="I97" s="48" t="s">
        <v>89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18</v>
      </c>
      <c r="AU97" s="64"/>
      <c r="AV97" s="64"/>
      <c r="AW97" s="64"/>
      <c r="AX97" s="64"/>
      <c r="AY97" s="65"/>
      <c r="AZ97" s="67">
        <v>160352</v>
      </c>
      <c r="BA97" s="78"/>
      <c r="BB97" s="188">
        <f>AZ97*BB58</f>
        <v>485893.0983528156</v>
      </c>
    </row>
    <row r="98" spans="1:54" ht="12.75">
      <c r="A98" s="74"/>
      <c r="B98" s="74"/>
      <c r="C98" s="74"/>
      <c r="D98" s="48" t="s">
        <v>100</v>
      </c>
      <c r="E98" s="50" t="s">
        <v>101</v>
      </c>
      <c r="F98" s="74" t="s">
        <v>102</v>
      </c>
      <c r="G98" s="74" t="s">
        <v>88</v>
      </c>
      <c r="H98" s="74"/>
      <c r="I98" s="74" t="s">
        <v>103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19</v>
      </c>
      <c r="AU98" s="64"/>
      <c r="AV98" s="64"/>
      <c r="AW98" s="64"/>
      <c r="AX98" s="64"/>
      <c r="AY98" s="65"/>
      <c r="AZ98" s="67">
        <v>326145</v>
      </c>
      <c r="BA98" s="78"/>
      <c r="BB98" s="188">
        <f>AZ98*BB58</f>
        <v>988273.3271944163</v>
      </c>
    </row>
    <row r="99" spans="1:54" ht="12.75">
      <c r="A99" s="49"/>
      <c r="B99" s="49"/>
      <c r="C99" s="49"/>
      <c r="D99" s="49" t="s">
        <v>104</v>
      </c>
      <c r="E99" s="46" t="s">
        <v>104</v>
      </c>
      <c r="F99" s="49" t="s">
        <v>105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20</v>
      </c>
      <c r="AU99" s="64"/>
      <c r="AV99" s="64"/>
      <c r="AW99" s="64"/>
      <c r="AX99" s="64"/>
      <c r="AY99" s="65"/>
      <c r="AZ99" s="67">
        <v>124175</v>
      </c>
      <c r="BA99" s="78"/>
      <c r="BB99" s="188">
        <f>AZ99*BB58</f>
        <v>376270.8010374731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21</v>
      </c>
      <c r="AU100" s="64"/>
      <c r="AV100" s="64"/>
      <c r="AW100" s="64"/>
      <c r="AX100" s="64"/>
      <c r="AY100" s="65"/>
      <c r="AZ100" s="67">
        <v>200</v>
      </c>
      <c r="BA100" s="78"/>
      <c r="BB100" s="188">
        <f>AZ100*BB58</f>
        <v>606.0331001207538</v>
      </c>
    </row>
    <row r="101" spans="1:54" ht="12.75">
      <c r="A101" s="46"/>
      <c r="B101" s="53"/>
      <c r="C101" s="209" t="s">
        <v>173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22</v>
      </c>
      <c r="AU101" s="64"/>
      <c r="AV101" s="64"/>
      <c r="AW101" s="64"/>
      <c r="AX101" s="64"/>
      <c r="AY101" s="65"/>
      <c r="AZ101" s="67">
        <v>1682</v>
      </c>
      <c r="BA101" s="78"/>
      <c r="BB101" s="188">
        <f>AZ101*BB58</f>
        <v>5096.73837201554</v>
      </c>
    </row>
    <row r="102" spans="1:54" ht="12.75">
      <c r="A102" s="44"/>
      <c r="B102" s="45" t="s">
        <v>264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3030.1655006037695</v>
      </c>
    </row>
    <row r="103" spans="1:54" ht="12.75">
      <c r="A103" s="73">
        <v>1</v>
      </c>
      <c r="B103" s="48" t="s">
        <v>146</v>
      </c>
      <c r="C103" s="90">
        <v>804152757</v>
      </c>
      <c r="D103" s="121">
        <v>2755.5236</v>
      </c>
      <c r="E103" s="121">
        <v>2792.2498</v>
      </c>
      <c r="F103" s="60">
        <v>36000</v>
      </c>
      <c r="G103" s="142">
        <f>E103-D103</f>
        <v>36.72620000000006</v>
      </c>
      <c r="H103" s="44"/>
      <c r="I103" s="60">
        <f>F103*G103+H103</f>
        <v>1322143.2000000023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183</v>
      </c>
      <c r="AU103" s="51"/>
      <c r="AV103" s="51"/>
      <c r="AW103" s="51"/>
      <c r="AX103" s="51"/>
      <c r="AY103" s="52"/>
      <c r="AZ103" s="189">
        <f>SUM(AZ104:AZ108)</f>
        <v>7622</v>
      </c>
      <c r="BA103" s="95"/>
      <c r="BB103" s="188">
        <f>AZ103*BB58</f>
        <v>23095.92144560193</v>
      </c>
    </row>
    <row r="104" spans="1:54" ht="12.75">
      <c r="A104" s="49"/>
      <c r="B104" s="46" t="s">
        <v>147</v>
      </c>
      <c r="C104" s="106">
        <v>109054169</v>
      </c>
      <c r="D104" s="121">
        <v>3381.3369</v>
      </c>
      <c r="E104" s="121">
        <v>3434.5297</v>
      </c>
      <c r="F104" s="60">
        <v>36000</v>
      </c>
      <c r="G104" s="142">
        <f>E104-D104</f>
        <v>53.19280000000026</v>
      </c>
      <c r="H104" s="44"/>
      <c r="I104" s="60">
        <f>F104*G104+H104</f>
        <v>1914940.8000000094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208</v>
      </c>
      <c r="AV104" s="64"/>
      <c r="AW104" s="64"/>
      <c r="AX104" s="64"/>
      <c r="AY104" s="65"/>
      <c r="AZ104" s="67">
        <v>1760</v>
      </c>
      <c r="BA104" s="78"/>
      <c r="BB104" s="188">
        <f>AZ104*BB58</f>
        <v>5333.091281062634</v>
      </c>
    </row>
    <row r="105" spans="1:54" ht="12.75">
      <c r="A105" s="45"/>
      <c r="B105" s="55"/>
      <c r="C105" s="53"/>
      <c r="D105" s="55"/>
      <c r="E105" s="55"/>
      <c r="F105" s="107" t="s">
        <v>109</v>
      </c>
      <c r="G105" s="55"/>
      <c r="H105" s="56"/>
      <c r="I105" s="60">
        <f>I103+I104</f>
        <v>3237084.0000000116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204</v>
      </c>
      <c r="AU105" s="64"/>
      <c r="AV105" s="64" t="s">
        <v>184</v>
      </c>
      <c r="AW105" s="64"/>
      <c r="AX105" s="64"/>
      <c r="AY105" s="65"/>
      <c r="AZ105" s="67">
        <v>4000</v>
      </c>
      <c r="BA105" s="78"/>
      <c r="BB105" s="188">
        <f>AZ105*BB58</f>
        <v>12120.662002415078</v>
      </c>
    </row>
    <row r="106" spans="1:54" ht="12.75">
      <c r="A106" s="44" t="s">
        <v>110</v>
      </c>
      <c r="B106" s="45" t="s">
        <v>111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204</v>
      </c>
      <c r="AU106" s="64"/>
      <c r="AV106" s="64" t="s">
        <v>209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>
      <c r="A107" s="44" t="s">
        <v>112</v>
      </c>
      <c r="B107" s="44" t="s">
        <v>113</v>
      </c>
      <c r="C107" s="106">
        <v>109053225</v>
      </c>
      <c r="D107" s="121">
        <v>8029.0702</v>
      </c>
      <c r="E107" s="121">
        <v>8070.4326</v>
      </c>
      <c r="F107" s="60">
        <v>21000</v>
      </c>
      <c r="G107" s="142">
        <f>E107-D107</f>
        <v>41.36239999999998</v>
      </c>
      <c r="H107" s="44"/>
      <c r="I107" s="60">
        <f>F107*G107+H107</f>
        <v>868610.3999999996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210</v>
      </c>
      <c r="AW107" s="64"/>
      <c r="AX107" s="64"/>
      <c r="AY107" s="64"/>
      <c r="AZ107" s="67">
        <v>680</v>
      </c>
      <c r="BA107" s="70"/>
      <c r="BB107" s="188">
        <f>AZ107*BB58</f>
        <v>2060.5125404105634</v>
      </c>
    </row>
    <row r="108" spans="1:54" ht="12.75">
      <c r="A108" s="44" t="s">
        <v>259</v>
      </c>
      <c r="B108" s="55" t="s">
        <v>262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60</v>
      </c>
      <c r="AU108" s="53"/>
      <c r="AV108" s="101"/>
      <c r="AW108" s="101"/>
      <c r="AX108" s="53"/>
      <c r="AY108" s="54"/>
      <c r="AZ108" s="68">
        <v>1182</v>
      </c>
      <c r="BA108" s="86"/>
      <c r="BB108" s="188">
        <f>AZ108*BB58</f>
        <v>3581.6556217136554</v>
      </c>
    </row>
    <row r="109" spans="1:54" ht="12.75">
      <c r="A109" s="44" t="s">
        <v>260</v>
      </c>
      <c r="B109" s="45" t="s">
        <v>263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273</v>
      </c>
      <c r="AU109" s="51"/>
      <c r="AV109" s="51"/>
      <c r="AW109" s="51"/>
      <c r="AX109" s="51"/>
      <c r="AY109" s="52"/>
      <c r="AZ109" s="189">
        <f>AZ110+AZ111</f>
        <v>26297</v>
      </c>
      <c r="BA109" s="95"/>
      <c r="BB109" s="188">
        <f>AZ109*BB58</f>
        <v>79684.26216937733</v>
      </c>
    </row>
    <row r="110" spans="1:54" ht="12.75">
      <c r="A110" s="45" t="s">
        <v>261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23</v>
      </c>
      <c r="AU110" s="64"/>
      <c r="AV110" s="64"/>
      <c r="AW110" s="64"/>
      <c r="AX110" s="64"/>
      <c r="AY110" s="65"/>
      <c r="AZ110" s="67">
        <v>5054</v>
      </c>
      <c r="BA110" s="78"/>
      <c r="BB110" s="188">
        <f>AZ110*BB58</f>
        <v>15314.45644005145</v>
      </c>
    </row>
    <row r="111" spans="1:54" ht="12.75">
      <c r="A111" s="44" t="s">
        <v>116</v>
      </c>
      <c r="B111" s="45" t="s">
        <v>117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24</v>
      </c>
      <c r="AU111" s="53"/>
      <c r="AV111" s="53"/>
      <c r="AW111" s="53"/>
      <c r="AX111" s="53"/>
      <c r="AY111" s="54"/>
      <c r="AZ111" s="68">
        <v>21243</v>
      </c>
      <c r="BA111" s="86"/>
      <c r="BB111" s="188">
        <f>AZ111*BB58</f>
        <v>64369.805729325875</v>
      </c>
    </row>
    <row r="112" spans="1:54" ht="12.75">
      <c r="A112" s="48" t="s">
        <v>118</v>
      </c>
      <c r="B112" s="48" t="s">
        <v>121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211</v>
      </c>
      <c r="AU112" s="55"/>
      <c r="AV112" s="55"/>
      <c r="AW112" s="55"/>
      <c r="AX112" s="55"/>
      <c r="AY112" s="56"/>
      <c r="AZ112" s="125">
        <v>10000</v>
      </c>
      <c r="BA112" s="92"/>
      <c r="BB112" s="188">
        <f>AZ112*BB58</f>
        <v>30301.655006037694</v>
      </c>
    </row>
    <row r="113" spans="1:54" ht="12.75">
      <c r="A113" s="49"/>
      <c r="B113" s="49" t="s">
        <v>119</v>
      </c>
      <c r="C113" s="91">
        <v>109056121</v>
      </c>
      <c r="D113" s="212">
        <v>6757.6148</v>
      </c>
      <c r="E113" s="212">
        <v>6782.9804</v>
      </c>
      <c r="F113" s="68">
        <v>4800</v>
      </c>
      <c r="G113" s="213">
        <f aca="true" t="shared" si="2" ref="G113:G132">E113-D113</f>
        <v>25.365600000000086</v>
      </c>
      <c r="H113" s="68"/>
      <c r="I113" s="68">
        <f>F113*G113+H113</f>
        <v>121754.88000000041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59</v>
      </c>
      <c r="AU113" s="55"/>
      <c r="AV113" s="55"/>
      <c r="AW113" s="55"/>
      <c r="AX113" s="55"/>
      <c r="AY113" s="56"/>
      <c r="AZ113" s="125">
        <v>18950</v>
      </c>
      <c r="BA113" s="92"/>
      <c r="BB113" s="188">
        <f>AZ113*BB58</f>
        <v>57421.63623644143</v>
      </c>
    </row>
    <row r="114" spans="1:54" ht="12.75">
      <c r="A114" s="48" t="s">
        <v>120</v>
      </c>
      <c r="B114" s="48" t="s">
        <v>132</v>
      </c>
      <c r="C114" s="90">
        <v>623125232</v>
      </c>
      <c r="D114" s="214">
        <v>3126.0874</v>
      </c>
      <c r="E114" s="214">
        <v>3152.8373</v>
      </c>
      <c r="F114" s="75">
        <v>1800</v>
      </c>
      <c r="G114" s="215">
        <f t="shared" si="2"/>
        <v>26.749900000000252</v>
      </c>
      <c r="H114" s="73"/>
      <c r="I114" s="75">
        <f>G114*F114</f>
        <v>48149.82000000046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200</v>
      </c>
      <c r="AU114" s="55"/>
      <c r="AV114" s="55"/>
      <c r="AW114" s="55"/>
      <c r="AX114" s="55"/>
      <c r="AY114" s="56"/>
      <c r="AZ114" s="125">
        <v>13921</v>
      </c>
      <c r="BA114" s="92"/>
      <c r="BB114" s="188">
        <f>AZ114*BB58</f>
        <v>42182.93393390507</v>
      </c>
    </row>
    <row r="115" spans="1:54" ht="12.75">
      <c r="A115" s="49"/>
      <c r="B115" s="49" t="s">
        <v>119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180</v>
      </c>
      <c r="AU115" s="55"/>
      <c r="AV115" s="55"/>
      <c r="AW115" s="55"/>
      <c r="AX115" s="55"/>
      <c r="AY115" s="56"/>
      <c r="AZ115" s="125">
        <v>2156</v>
      </c>
      <c r="BA115" s="92"/>
      <c r="BB115" s="188">
        <f>AZ115*BB58</f>
        <v>6533.036819301727</v>
      </c>
    </row>
    <row r="116" spans="1:54" ht="12.75">
      <c r="A116" s="48" t="s">
        <v>122</v>
      </c>
      <c r="B116" s="48" t="s">
        <v>133</v>
      </c>
      <c r="C116" s="90">
        <v>623125667</v>
      </c>
      <c r="D116" s="214">
        <v>4208.7166</v>
      </c>
      <c r="E116" s="214">
        <v>4241.7799</v>
      </c>
      <c r="F116" s="75">
        <v>1800</v>
      </c>
      <c r="G116" s="215">
        <f t="shared" si="2"/>
        <v>33.06330000000071</v>
      </c>
      <c r="H116" s="73"/>
      <c r="I116" s="75">
        <f>G116*F116</f>
        <v>59513.940000001276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20000</v>
      </c>
      <c r="BA116" s="92"/>
      <c r="BB116" s="188">
        <f>AZ116*BB58</f>
        <v>60603.31001207539</v>
      </c>
    </row>
    <row r="117" spans="1:54" ht="12.75">
      <c r="A117" s="49"/>
      <c r="B117" s="49" t="s">
        <v>119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6000</v>
      </c>
      <c r="BA117" s="92"/>
      <c r="BB117" s="188">
        <f>AZ117*BB58</f>
        <v>18180.993003622614</v>
      </c>
    </row>
    <row r="118" spans="1:54" ht="12.75">
      <c r="A118" s="48" t="s">
        <v>123</v>
      </c>
      <c r="B118" s="48" t="s">
        <v>134</v>
      </c>
      <c r="C118" s="90">
        <v>623126370</v>
      </c>
      <c r="D118" s="214">
        <v>858.322</v>
      </c>
      <c r="E118" s="214">
        <v>870.7072</v>
      </c>
      <c r="F118" s="75">
        <v>4800</v>
      </c>
      <c r="G118" s="215">
        <f t="shared" si="2"/>
        <v>12.38519999999994</v>
      </c>
      <c r="H118" s="73"/>
      <c r="I118" s="75">
        <f>G118*F118</f>
        <v>59448.959999999715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207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151.50827503018846</v>
      </c>
    </row>
    <row r="119" spans="1:54" ht="12.75">
      <c r="A119" s="49"/>
      <c r="B119" s="49" t="s">
        <v>119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202</v>
      </c>
      <c r="AU119" s="107"/>
      <c r="AV119" s="55"/>
      <c r="AW119" s="55"/>
      <c r="AX119" s="55"/>
      <c r="AY119" s="56"/>
      <c r="AZ119" s="125">
        <v>23880</v>
      </c>
      <c r="BA119" s="92"/>
      <c r="BB119" s="188">
        <f>AZ119*BB58</f>
        <v>72360.35215441801</v>
      </c>
    </row>
    <row r="120" spans="1:54" ht="12.75">
      <c r="A120" s="48" t="s">
        <v>124</v>
      </c>
      <c r="B120" s="48" t="s">
        <v>135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>
      <c r="A121" s="49"/>
      <c r="B121" s="49" t="s">
        <v>119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>
      <c r="A122" s="48" t="s">
        <v>125</v>
      </c>
      <c r="B122" s="48" t="s">
        <v>136</v>
      </c>
      <c r="C122" s="90">
        <v>623125142</v>
      </c>
      <c r="D122" s="214">
        <v>2789.6296</v>
      </c>
      <c r="E122" s="214">
        <v>2819.1706</v>
      </c>
      <c r="F122" s="75">
        <v>2400</v>
      </c>
      <c r="G122" s="215">
        <f t="shared" si="2"/>
        <v>29.540999999999713</v>
      </c>
      <c r="H122" s="73"/>
      <c r="I122" s="75">
        <f>G122*F122</f>
        <v>70898.39999999931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>
      <c r="A123" s="49"/>
      <c r="B123" s="49" t="s">
        <v>119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>
      <c r="A124" s="48" t="s">
        <v>126</v>
      </c>
      <c r="B124" s="48" t="s">
        <v>137</v>
      </c>
      <c r="C124" s="90">
        <v>623125205</v>
      </c>
      <c r="D124" s="214">
        <v>2321.0112</v>
      </c>
      <c r="E124" s="214">
        <v>2360.8325</v>
      </c>
      <c r="F124" s="75">
        <v>1800</v>
      </c>
      <c r="G124" s="215">
        <f t="shared" si="2"/>
        <v>39.821300000000065</v>
      </c>
      <c r="H124" s="73"/>
      <c r="I124" s="75">
        <f>G124*F124</f>
        <v>71678.34000000011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>
      <c r="A125" s="49"/>
      <c r="B125" s="49" t="s">
        <v>119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>
      <c r="A126" s="48" t="s">
        <v>127</v>
      </c>
      <c r="B126" s="48" t="s">
        <v>138</v>
      </c>
      <c r="C126" s="90">
        <v>623123704</v>
      </c>
      <c r="D126" s="214">
        <v>2827.8959</v>
      </c>
      <c r="E126" s="214">
        <v>2870.9065</v>
      </c>
      <c r="F126" s="75">
        <v>1800</v>
      </c>
      <c r="G126" s="215">
        <f t="shared" si="2"/>
        <v>43.01060000000007</v>
      </c>
      <c r="H126" s="73"/>
      <c r="I126" s="75">
        <f>G126*F126</f>
        <v>77419.08000000012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>
      <c r="A127" s="49"/>
      <c r="B127" s="49" t="s">
        <v>119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128</v>
      </c>
      <c r="B128" s="48" t="s">
        <v>139</v>
      </c>
      <c r="C128" s="90">
        <v>623125794</v>
      </c>
      <c r="D128" s="214">
        <v>209.7982</v>
      </c>
      <c r="E128" s="214">
        <v>221.5262</v>
      </c>
      <c r="F128" s="75">
        <v>1800</v>
      </c>
      <c r="G128" s="215">
        <f>E128-D128</f>
        <v>11.72799999999998</v>
      </c>
      <c r="H128" s="73"/>
      <c r="I128" s="75">
        <f>G128*F128</f>
        <v>21110.399999999965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119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129</v>
      </c>
      <c r="B130" s="48" t="s">
        <v>140</v>
      </c>
      <c r="C130" s="90">
        <v>623125736</v>
      </c>
      <c r="D130" s="214">
        <v>3258.4127</v>
      </c>
      <c r="E130" s="214">
        <v>3260.5882</v>
      </c>
      <c r="F130" s="75">
        <v>1200</v>
      </c>
      <c r="G130" s="215">
        <f t="shared" si="2"/>
        <v>2.1755000000002838</v>
      </c>
      <c r="H130" s="73"/>
      <c r="I130" s="75">
        <f>G130*F130</f>
        <v>2610.6000000003405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119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4781626</v>
      </c>
      <c r="BA131" s="47"/>
      <c r="BB131" s="165">
        <f>SUM(BB93:BB96)+BB103+BB109+SUM(BB112:BB126)</f>
        <v>14489118.14199</v>
      </c>
    </row>
    <row r="132" spans="1:54" ht="12.75">
      <c r="A132" s="48" t="s">
        <v>130</v>
      </c>
      <c r="B132" s="50" t="s">
        <v>131</v>
      </c>
      <c r="C132" s="90">
        <v>1110171156</v>
      </c>
      <c r="D132" s="214">
        <v>1905.016</v>
      </c>
      <c r="E132" s="214">
        <v>1946.6188</v>
      </c>
      <c r="F132" s="75">
        <v>40</v>
      </c>
      <c r="G132" s="215">
        <f t="shared" si="2"/>
        <v>41.60279999999989</v>
      </c>
      <c r="H132" s="73"/>
      <c r="I132" s="75">
        <f>G132*F132</f>
        <v>1664.1119999999955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119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141</v>
      </c>
      <c r="H134" s="56"/>
      <c r="I134" s="125">
        <f>SUM(I112:I133)+I107</f>
        <v>1402858.9320000014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323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144</v>
      </c>
      <c r="B135" s="50" t="s">
        <v>142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143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48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145</v>
      </c>
      <c r="B137" s="48" t="s">
        <v>240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4">
        <v>611127627</v>
      </c>
      <c r="D138" s="191">
        <v>2644.464</v>
      </c>
      <c r="E138" s="191">
        <v>2713.998</v>
      </c>
      <c r="F138" s="60">
        <v>40</v>
      </c>
      <c r="G138" s="142">
        <f>E138-D138</f>
        <v>69.5340000000001</v>
      </c>
      <c r="H138" s="60"/>
      <c r="I138" s="60">
        <f>ROUND(F138*G138+H138,0)</f>
        <v>2781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231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302</v>
      </c>
      <c r="AX139" s="47"/>
      <c r="AY139" s="47"/>
      <c r="AZ139" s="47"/>
      <c r="BA139" s="47"/>
      <c r="BB139" s="47"/>
    </row>
    <row r="140" spans="1:54" ht="12.75">
      <c r="A140" s="48" t="s">
        <v>148</v>
      </c>
      <c r="B140" s="65"/>
      <c r="C140" s="106">
        <v>810120245</v>
      </c>
      <c r="D140" s="191">
        <v>1343.8378</v>
      </c>
      <c r="E140" s="191">
        <v>1344.541</v>
      </c>
      <c r="F140" s="60">
        <v>3600</v>
      </c>
      <c r="G140" s="142">
        <f aca="true" t="shared" si="3" ref="G140:G145">E140-D140</f>
        <v>0.7031999999999243</v>
      </c>
      <c r="H140" s="60"/>
      <c r="I140" s="60">
        <f aca="true" t="shared" si="4" ref="I140:I145">ROUND(F140*G140+H140,0)</f>
        <v>2532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304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246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4448.4544</v>
      </c>
      <c r="E142" s="121">
        <v>4471.3503</v>
      </c>
      <c r="F142" s="60">
        <v>3600</v>
      </c>
      <c r="G142" s="143">
        <f t="shared" si="3"/>
        <v>22.895900000000438</v>
      </c>
      <c r="H142" s="44"/>
      <c r="I142" s="60">
        <f t="shared" si="4"/>
        <v>82425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321</v>
      </c>
      <c r="AX143" s="47"/>
      <c r="AY143" s="47"/>
      <c r="AZ143" s="47"/>
      <c r="BA143" s="47"/>
      <c r="BB143" s="47"/>
    </row>
    <row r="144" spans="1:54" ht="12.75">
      <c r="A144" s="74" t="s">
        <v>149</v>
      </c>
      <c r="B144" s="48" t="s">
        <v>115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316</v>
      </c>
      <c r="AX144" s="47"/>
      <c r="AY144" s="47"/>
      <c r="AZ144" s="47"/>
      <c r="BA144" s="47"/>
      <c r="BB144" s="47"/>
    </row>
    <row r="145" spans="1:54" ht="12.75">
      <c r="A145" s="196"/>
      <c r="B145" s="74" t="s">
        <v>114</v>
      </c>
      <c r="C145" s="194">
        <v>611127492</v>
      </c>
      <c r="D145" s="191">
        <v>6411.678</v>
      </c>
      <c r="E145" s="191">
        <v>6449.2852</v>
      </c>
      <c r="F145" s="60">
        <v>20</v>
      </c>
      <c r="G145" s="142">
        <f t="shared" si="3"/>
        <v>37.607200000000375</v>
      </c>
      <c r="H145" s="60"/>
      <c r="I145" s="60">
        <f t="shared" si="4"/>
        <v>752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150</v>
      </c>
      <c r="B146" s="48" t="s">
        <v>241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320</v>
      </c>
      <c r="AX146" s="47"/>
      <c r="AY146" s="47"/>
      <c r="AZ146" s="47"/>
      <c r="BA146" s="47"/>
      <c r="BB146" s="47"/>
    </row>
    <row r="147" spans="1:54" ht="12.75">
      <c r="A147" s="197"/>
      <c r="B147" s="70" t="s">
        <v>281</v>
      </c>
      <c r="C147" s="194">
        <v>611127702</v>
      </c>
      <c r="D147" s="191">
        <v>7267.2416</v>
      </c>
      <c r="E147" s="191">
        <v>7335.578</v>
      </c>
      <c r="F147" s="60">
        <v>60</v>
      </c>
      <c r="G147" s="142">
        <f>E147-D147</f>
        <v>68.33640000000014</v>
      </c>
      <c r="H147" s="44"/>
      <c r="I147" s="60">
        <f>ROUND(F147*G147+H147,0)</f>
        <v>4100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322</v>
      </c>
      <c r="AX147" s="47"/>
      <c r="AY147" s="47"/>
      <c r="AZ147" s="47"/>
      <c r="BA147" s="47"/>
      <c r="BB147" s="47"/>
    </row>
    <row r="148" spans="1:54" ht="12.75">
      <c r="A148" s="63"/>
      <c r="B148" s="70" t="s">
        <v>282</v>
      </c>
      <c r="C148" s="194">
        <v>611127555</v>
      </c>
      <c r="D148" s="191">
        <v>2777.1004</v>
      </c>
      <c r="E148" s="191">
        <v>2902.0528</v>
      </c>
      <c r="F148" s="60">
        <v>60</v>
      </c>
      <c r="G148" s="142">
        <f>E148-D148</f>
        <v>124.95240000000013</v>
      </c>
      <c r="H148" s="44"/>
      <c r="I148" s="60">
        <f>ROUND(F148*G148+H148,0)</f>
        <v>7497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327</v>
      </c>
      <c r="AX148" s="47"/>
      <c r="AY148" s="47"/>
      <c r="AZ148" s="47"/>
      <c r="BA148" s="47"/>
      <c r="BB148" s="47"/>
    </row>
    <row r="149" spans="1:54" ht="12.75">
      <c r="A149" s="50" t="s">
        <v>151</v>
      </c>
      <c r="B149" s="48" t="s">
        <v>242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325</v>
      </c>
      <c r="AX149" s="47"/>
      <c r="AY149" s="47"/>
      <c r="AZ149" s="47"/>
      <c r="BA149" s="47"/>
      <c r="BB149" s="47"/>
    </row>
    <row r="150" spans="1:54" ht="12.75">
      <c r="A150" s="197"/>
      <c r="B150" s="74"/>
      <c r="C150" s="194">
        <v>1110171163</v>
      </c>
      <c r="D150" s="121">
        <v>699.834</v>
      </c>
      <c r="E150" s="121">
        <v>701.7444</v>
      </c>
      <c r="F150" s="60">
        <v>60</v>
      </c>
      <c r="G150" s="142">
        <f>E150-D150</f>
        <v>1.9104000000000951</v>
      </c>
      <c r="H150" s="44"/>
      <c r="I150" s="60">
        <f>ROUND(F150*G150+H150,0)</f>
        <v>115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326</v>
      </c>
      <c r="AX150" s="47"/>
      <c r="AY150" s="47"/>
      <c r="AZ150" s="47"/>
      <c r="BA150" s="47"/>
      <c r="BB150" s="47"/>
    </row>
    <row r="151" spans="1:54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332</v>
      </c>
      <c r="AX151" s="47"/>
      <c r="AY151" s="47"/>
      <c r="AZ151" s="47"/>
      <c r="BA151" s="47"/>
      <c r="BB151" s="47"/>
    </row>
    <row r="152" spans="1:54" ht="12.75">
      <c r="A152" s="50" t="s">
        <v>152</v>
      </c>
      <c r="B152" s="48" t="s">
        <v>243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4">
        <v>1110171170</v>
      </c>
      <c r="D153" s="191">
        <v>239.1164</v>
      </c>
      <c r="E153" s="191">
        <v>244.334</v>
      </c>
      <c r="F153" s="60">
        <v>40</v>
      </c>
      <c r="G153" s="142">
        <f>E153-D153</f>
        <v>5.2176000000000045</v>
      </c>
      <c r="H153" s="60"/>
      <c r="I153" s="60">
        <f>ROUND(F153*G153+H153,0)</f>
        <v>209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328</v>
      </c>
      <c r="AX153" s="47"/>
      <c r="AY153" s="47"/>
      <c r="AZ153" s="47"/>
      <c r="BA153" s="47"/>
      <c r="BB153" s="47"/>
    </row>
    <row r="154" spans="1:54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329</v>
      </c>
      <c r="AX154" s="47"/>
      <c r="AY154" s="47"/>
      <c r="AZ154" s="47"/>
      <c r="BA154" s="47"/>
      <c r="BB154" s="47"/>
    </row>
    <row r="155" spans="1:54" ht="12.75">
      <c r="A155" s="48" t="s">
        <v>153</v>
      </c>
      <c r="B155" s="52" t="s">
        <v>276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330</v>
      </c>
      <c r="AX155" s="47"/>
      <c r="AY155" s="47"/>
      <c r="AZ155" s="47"/>
      <c r="BA155" s="47"/>
      <c r="BB155" s="47"/>
    </row>
    <row r="156" spans="1:54" ht="12.75">
      <c r="A156" s="74"/>
      <c r="B156" s="65" t="s">
        <v>232</v>
      </c>
      <c r="C156" s="194">
        <v>611126404</v>
      </c>
      <c r="D156" s="191">
        <v>958.2261</v>
      </c>
      <c r="E156" s="191">
        <v>959.7897</v>
      </c>
      <c r="F156" s="60">
        <v>1800</v>
      </c>
      <c r="G156" s="142">
        <f>E156-D156</f>
        <v>1.563600000000065</v>
      </c>
      <c r="H156" s="60"/>
      <c r="I156" s="60">
        <f>ROUND(F156*G156+H156,0)</f>
        <v>2814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331</v>
      </c>
      <c r="AX156" s="47"/>
      <c r="AY156" s="47"/>
      <c r="AZ156" s="47"/>
      <c r="BA156" s="47"/>
      <c r="BB156" s="47"/>
    </row>
    <row r="157" spans="1:54" ht="12.75">
      <c r="A157" s="49"/>
      <c r="B157" s="54" t="s">
        <v>247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233</v>
      </c>
      <c r="B158" s="48" t="s">
        <v>244</v>
      </c>
      <c r="C158" s="194">
        <v>611127724</v>
      </c>
      <c r="D158" s="191">
        <v>732.4136</v>
      </c>
      <c r="E158" s="191">
        <v>738.9724</v>
      </c>
      <c r="F158" s="60">
        <v>30</v>
      </c>
      <c r="G158" s="142">
        <f>E158-D158</f>
        <v>6.558800000000019</v>
      </c>
      <c r="H158" s="60"/>
      <c r="I158" s="60">
        <f>ROUND(F158*G158+H158,0)</f>
        <v>197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>
      <c r="A159" s="46"/>
      <c r="B159" s="74" t="s">
        <v>275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154</v>
      </c>
      <c r="G161" s="55"/>
      <c r="H161" s="56"/>
      <c r="I161" s="125">
        <f>SUM(I137:I159)-I160</f>
        <v>103422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155</v>
      </c>
      <c r="H162" s="56"/>
      <c r="I162" s="125">
        <f>I103+I104+I107+I108+I109+I110-I134-I161</f>
        <v>2599413.4680000097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162</v>
      </c>
      <c r="B163" s="45" t="s">
        <v>156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160</v>
      </c>
      <c r="B164" s="48" t="s">
        <v>157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158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161</v>
      </c>
      <c r="B166" s="48" t="s">
        <v>159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158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163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164</v>
      </c>
      <c r="H169" s="56"/>
      <c r="I169" s="125">
        <f>I162+I168</f>
        <v>2599413.4680000097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165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290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168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169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268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291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257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251</v>
      </c>
      <c r="BA178" s="47" t="s">
        <v>27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248</v>
      </c>
      <c r="AZ179" s="190">
        <f>AZ183+AZ184+AZ185</f>
        <v>2742934</v>
      </c>
      <c r="BA179" s="218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249</v>
      </c>
      <c r="AZ180" s="190">
        <f>AZ187-AZ179-AZ181</f>
        <v>-2742934</v>
      </c>
      <c r="BA180" s="218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250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252</v>
      </c>
      <c r="AZ183" s="217">
        <v>2742934</v>
      </c>
      <c r="BA183" s="216"/>
    </row>
    <row r="184" spans="51:53" ht="12.75">
      <c r="AY184" s="47"/>
      <c r="AZ184" s="217"/>
      <c r="BA184" s="216"/>
    </row>
    <row r="185" spans="51:53" ht="12.75">
      <c r="AY185" s="47"/>
      <c r="AZ185" s="217"/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</sheetData>
  <sheetProtection/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0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7" width="9.25390625" style="0" customWidth="1"/>
    <col min="8" max="8" width="8.25390625" style="0" customWidth="1"/>
    <col min="9" max="9" width="13.125" style="0" customWidth="1"/>
    <col min="10" max="10" width="7.25390625" style="0" customWidth="1"/>
    <col min="11" max="11" width="36.375" style="0" customWidth="1"/>
    <col min="12" max="12" width="16.625" style="0" customWidth="1"/>
    <col min="13" max="13" width="10.125" style="0" customWidth="1"/>
    <col min="14" max="14" width="12.125" style="0" customWidth="1"/>
    <col min="15" max="15" width="8.75390625" style="0" customWidth="1"/>
    <col min="16" max="16" width="9.625" style="0" customWidth="1"/>
    <col min="17" max="17" width="8.625" style="0" customWidth="1"/>
    <col min="18" max="18" width="11.75390625" style="0" customWidth="1"/>
    <col min="19" max="19" width="6.75390625" style="0" customWidth="1"/>
    <col min="21" max="21" width="11.875" style="0" customWidth="1"/>
    <col min="22" max="22" width="31.00390625" style="0" customWidth="1"/>
    <col min="23" max="23" width="12.00390625" style="0" customWidth="1"/>
    <col min="24" max="24" width="12.375" style="0" customWidth="1"/>
    <col min="25" max="25" width="11.00390625" style="0" customWidth="1"/>
    <col min="26" max="26" width="12.375" style="0" customWidth="1"/>
    <col min="27" max="27" width="11.375" style="0" customWidth="1"/>
    <col min="28" max="28" width="6.375" style="0" customWidth="1"/>
    <col min="29" max="29" width="11.375" style="0" customWidth="1"/>
    <col min="31" max="31" width="30.875" style="0" customWidth="1"/>
    <col min="32" max="32" width="13.00390625" style="0" customWidth="1"/>
    <col min="33" max="33" width="12.00390625" style="0" customWidth="1"/>
    <col min="34" max="34" width="10.75390625" style="0" customWidth="1"/>
    <col min="35" max="35" width="13.00390625" style="0" customWidth="1"/>
    <col min="36" max="36" width="11.25390625" style="0" customWidth="1"/>
    <col min="37" max="37" width="6.625" style="0" customWidth="1"/>
    <col min="40" max="40" width="29.25390625" style="0" customWidth="1"/>
    <col min="41" max="41" width="11.375" style="0" customWidth="1"/>
    <col min="42" max="42" width="12.00390625" style="0" customWidth="1"/>
    <col min="43" max="43" width="12.125" style="0" customWidth="1"/>
    <col min="44" max="44" width="12.25390625" style="0" customWidth="1"/>
    <col min="45" max="45" width="12.00390625" style="0" customWidth="1"/>
    <col min="51" max="51" width="21.125" style="0" customWidth="1"/>
    <col min="52" max="52" width="14.875" style="0" customWidth="1"/>
    <col min="53" max="53" width="15.375" style="0" customWidth="1"/>
    <col min="54" max="54" width="18.75390625" style="0" customWidth="1"/>
  </cols>
  <sheetData>
    <row r="1" spans="1:54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 customHeight="1">
      <c r="A2" s="47"/>
      <c r="B2" s="47"/>
      <c r="C2" s="47"/>
      <c r="D2" s="47" t="s">
        <v>90</v>
      </c>
      <c r="E2" s="47"/>
      <c r="F2" s="47"/>
      <c r="G2" s="47"/>
      <c r="H2" s="47"/>
      <c r="I2" s="47"/>
      <c r="J2" s="47"/>
      <c r="K2" s="47"/>
      <c r="L2" s="47"/>
      <c r="M2" s="47" t="s">
        <v>174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187</v>
      </c>
      <c r="AC2" s="47"/>
      <c r="AD2" s="47"/>
      <c r="AE2" s="47"/>
      <c r="AF2" s="47"/>
      <c r="AG2" s="47"/>
      <c r="AH2" s="47"/>
      <c r="AI2" s="47"/>
      <c r="AJ2" s="47"/>
      <c r="AK2" s="47" t="s">
        <v>187</v>
      </c>
      <c r="AL2" s="47"/>
      <c r="AM2" s="47"/>
      <c r="AN2" s="47"/>
      <c r="AO2" s="47"/>
      <c r="AP2" s="47"/>
      <c r="AQ2" s="47"/>
      <c r="AR2" s="47"/>
      <c r="AS2" s="47"/>
      <c r="AT2" s="64" t="s">
        <v>267</v>
      </c>
      <c r="AU2" s="47"/>
      <c r="AV2" s="47"/>
      <c r="AW2" s="47"/>
      <c r="AX2" s="47"/>
      <c r="AY2" s="47"/>
      <c r="AZ2" s="47"/>
      <c r="BA2" s="47"/>
      <c r="BB2" s="47"/>
    </row>
    <row r="3" spans="1:54" ht="12.75" customHeight="1">
      <c r="A3" s="47"/>
      <c r="B3" s="47"/>
      <c r="C3" s="47"/>
      <c r="D3" s="47" t="s">
        <v>91</v>
      </c>
      <c r="E3" s="47"/>
      <c r="F3" s="47"/>
      <c r="G3" s="47"/>
      <c r="H3" s="47"/>
      <c r="I3" s="47"/>
      <c r="J3" s="47"/>
      <c r="K3" s="47"/>
      <c r="L3" s="47"/>
      <c r="M3" s="47" t="s">
        <v>175</v>
      </c>
      <c r="N3" s="47"/>
      <c r="O3" s="47"/>
      <c r="P3" s="47"/>
      <c r="Q3" s="47"/>
      <c r="R3" s="47"/>
      <c r="S3" s="47" t="s">
        <v>187</v>
      </c>
      <c r="T3" s="47"/>
      <c r="U3" s="47"/>
      <c r="V3" s="47"/>
      <c r="W3" s="47"/>
      <c r="X3" s="47"/>
      <c r="Y3" s="47"/>
      <c r="Z3" s="47"/>
      <c r="AA3" s="47"/>
      <c r="AB3" s="47" t="s">
        <v>186</v>
      </c>
      <c r="AC3" s="47"/>
      <c r="AD3" s="47"/>
      <c r="AE3" s="47"/>
      <c r="AF3" s="47"/>
      <c r="AG3" s="47"/>
      <c r="AH3" s="47"/>
      <c r="AI3" s="47"/>
      <c r="AJ3" s="47"/>
      <c r="AK3" s="47" t="s">
        <v>186</v>
      </c>
      <c r="AL3" s="47"/>
      <c r="AM3" s="47"/>
      <c r="AN3" s="47"/>
      <c r="AO3" s="47"/>
      <c r="AP3" s="47"/>
      <c r="AQ3" s="47"/>
      <c r="AR3" s="47"/>
      <c r="AS3" s="47"/>
      <c r="AT3" s="64" t="s">
        <v>269</v>
      </c>
      <c r="AU3" s="47"/>
      <c r="AV3" s="47"/>
      <c r="AW3" s="47"/>
      <c r="AX3" s="47"/>
      <c r="AY3" s="47"/>
      <c r="AZ3" s="47"/>
      <c r="BA3" s="47"/>
      <c r="BB3" s="47"/>
    </row>
    <row r="4" spans="1:54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186</v>
      </c>
      <c r="T4" s="47"/>
      <c r="U4" s="47"/>
      <c r="V4" s="47"/>
      <c r="W4" s="47"/>
      <c r="X4" s="47"/>
      <c r="Y4" s="47"/>
      <c r="Z4" s="47"/>
      <c r="AA4" s="47"/>
      <c r="AB4" s="47" t="s">
        <v>188</v>
      </c>
      <c r="AC4" s="47"/>
      <c r="AD4" s="47"/>
      <c r="AE4" s="47"/>
      <c r="AF4" s="47"/>
      <c r="AG4" s="47"/>
      <c r="AH4" s="47"/>
      <c r="AI4" s="47"/>
      <c r="AJ4" s="47"/>
      <c r="AK4" s="47" t="s">
        <v>188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212</v>
      </c>
      <c r="AV4" s="47"/>
      <c r="AW4" s="47"/>
      <c r="AX4" s="47"/>
      <c r="AY4" s="144" t="s">
        <v>205</v>
      </c>
      <c r="AZ4" s="144" t="s">
        <v>293</v>
      </c>
      <c r="BA4" s="47"/>
      <c r="BB4" s="47"/>
    </row>
    <row r="5" spans="1:54" ht="12.75" customHeight="1">
      <c r="A5" s="47"/>
      <c r="B5" s="47"/>
      <c r="C5" s="47" t="s">
        <v>92</v>
      </c>
      <c r="D5" s="47"/>
      <c r="E5" s="47"/>
      <c r="F5" s="47"/>
      <c r="G5" s="47"/>
      <c r="H5" s="47"/>
      <c r="I5" s="47"/>
      <c r="J5" s="47"/>
      <c r="K5" s="47"/>
      <c r="L5" s="47" t="s">
        <v>92</v>
      </c>
      <c r="M5" s="47"/>
      <c r="N5" s="47"/>
      <c r="O5" s="47"/>
      <c r="P5" s="47"/>
      <c r="Q5" s="47"/>
      <c r="R5" s="47"/>
      <c r="S5" s="47" t="s">
        <v>188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214</v>
      </c>
      <c r="AV5" s="51"/>
      <c r="AW5" s="51"/>
      <c r="AX5" s="51"/>
      <c r="AY5" s="51"/>
      <c r="AZ5" s="50" t="s">
        <v>215</v>
      </c>
      <c r="BA5" s="50" t="s">
        <v>216</v>
      </c>
      <c r="BB5" s="48" t="s">
        <v>201</v>
      </c>
    </row>
    <row r="6" spans="1:54" ht="12.75" customHeight="1">
      <c r="A6" s="47"/>
      <c r="B6" s="47"/>
      <c r="C6" s="47"/>
      <c r="D6" s="167" t="s">
        <v>333</v>
      </c>
      <c r="E6" s="167"/>
      <c r="F6" s="47"/>
      <c r="G6" s="47"/>
      <c r="H6" s="47"/>
      <c r="I6" s="47"/>
      <c r="J6" s="47"/>
      <c r="K6" s="47"/>
      <c r="L6" s="47"/>
      <c r="M6" s="167" t="s">
        <v>333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217</v>
      </c>
      <c r="BA6" s="63" t="s">
        <v>76</v>
      </c>
      <c r="BB6" s="74" t="s">
        <v>14</v>
      </c>
    </row>
    <row r="7" spans="1:54" ht="12.75" customHeight="1">
      <c r="A7" s="47" t="s">
        <v>265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77</v>
      </c>
      <c r="BA7" s="46"/>
      <c r="BB7" s="49" t="s">
        <v>15</v>
      </c>
    </row>
    <row r="8" spans="1:54" ht="12.75" customHeight="1">
      <c r="A8" s="47" t="s">
        <v>93</v>
      </c>
      <c r="B8" s="47"/>
      <c r="C8" s="47"/>
      <c r="D8" s="47"/>
      <c r="E8" s="47"/>
      <c r="F8" s="47"/>
      <c r="G8" s="47"/>
      <c r="H8" s="47"/>
      <c r="I8" s="47"/>
      <c r="J8" s="47" t="s">
        <v>265</v>
      </c>
      <c r="K8" s="47"/>
      <c r="L8" s="47"/>
      <c r="M8" s="47"/>
      <c r="N8" s="47"/>
      <c r="O8" s="47"/>
      <c r="P8" s="47"/>
      <c r="Q8" s="47"/>
      <c r="R8" s="47"/>
      <c r="S8" s="47" t="s">
        <v>199</v>
      </c>
      <c r="T8" s="47"/>
      <c r="U8" s="47"/>
      <c r="V8" s="47"/>
      <c r="W8" s="47"/>
      <c r="X8" s="47"/>
      <c r="Y8" s="47"/>
      <c r="Z8" s="47"/>
      <c r="AA8" s="47"/>
      <c r="AB8" s="47" t="s">
        <v>199</v>
      </c>
      <c r="AC8" s="47"/>
      <c r="AD8" s="47"/>
      <c r="AE8" s="47"/>
      <c r="AF8" s="47"/>
      <c r="AG8" s="47"/>
      <c r="AH8" s="47"/>
      <c r="AI8" s="47"/>
      <c r="AJ8" s="47"/>
      <c r="AK8" s="47" t="s">
        <v>199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7314801.200000009</v>
      </c>
      <c r="BA8" s="168"/>
      <c r="BB8" s="169">
        <f>BB9+BB14</f>
        <v>21135585.02301</v>
      </c>
    </row>
    <row r="9" spans="1:54" ht="12.75" customHeight="1">
      <c r="A9" s="47" t="s">
        <v>95</v>
      </c>
      <c r="B9" s="47"/>
      <c r="C9" s="47"/>
      <c r="D9" s="47"/>
      <c r="E9" s="47"/>
      <c r="F9" s="47" t="s">
        <v>94</v>
      </c>
      <c r="G9" s="47"/>
      <c r="H9" s="47"/>
      <c r="I9" s="47"/>
      <c r="J9" s="47" t="s">
        <v>93</v>
      </c>
      <c r="K9" s="47"/>
      <c r="L9" s="47"/>
      <c r="M9" s="47"/>
      <c r="N9" s="47"/>
      <c r="O9" s="47" t="s">
        <v>94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203</v>
      </c>
      <c r="AU9" s="146"/>
      <c r="AV9" s="146"/>
      <c r="AW9" s="146"/>
      <c r="AX9" s="51"/>
      <c r="AY9" s="52"/>
      <c r="AZ9" s="170">
        <f>AZ11+AZ12</f>
        <v>5315791</v>
      </c>
      <c r="BA9" s="171">
        <f>(BB12+BB11)/AZ9</f>
        <v>3.9758138954315547</v>
      </c>
      <c r="BB9" s="169">
        <f>BB10+BB11+BB12+BB13</f>
        <v>21134595.72301</v>
      </c>
    </row>
    <row r="10" spans="1:54" ht="12.75" customHeight="1">
      <c r="A10" s="48" t="s">
        <v>190</v>
      </c>
      <c r="B10" s="73" t="s">
        <v>96</v>
      </c>
      <c r="C10" s="48" t="s">
        <v>97</v>
      </c>
      <c r="D10" s="116" t="s">
        <v>172</v>
      </c>
      <c r="E10" s="117"/>
      <c r="F10" s="48" t="s">
        <v>98</v>
      </c>
      <c r="G10" s="48" t="s">
        <v>213</v>
      </c>
      <c r="H10" s="48" t="s">
        <v>99</v>
      </c>
      <c r="I10" s="48" t="s">
        <v>89</v>
      </c>
      <c r="J10" s="47" t="s">
        <v>95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334</v>
      </c>
      <c r="Z10" s="47"/>
      <c r="AA10" s="47"/>
      <c r="AB10" s="47"/>
      <c r="AC10" s="47"/>
      <c r="AD10" s="47"/>
      <c r="AE10" s="47"/>
      <c r="AF10" s="47"/>
      <c r="AG10" s="47"/>
      <c r="AH10" s="167" t="s">
        <v>334</v>
      </c>
      <c r="AI10" s="47"/>
      <c r="AJ10" s="47"/>
      <c r="AK10" s="47"/>
      <c r="AL10" s="47"/>
      <c r="AM10" s="47"/>
      <c r="AN10" s="47"/>
      <c r="AO10" s="47"/>
      <c r="AP10" s="47"/>
      <c r="AQ10" s="167" t="s">
        <v>334</v>
      </c>
      <c r="AR10" s="47"/>
      <c r="AS10" s="47"/>
      <c r="AT10" s="50" t="s">
        <v>78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 customHeight="1">
      <c r="A11" s="74"/>
      <c r="B11" s="74"/>
      <c r="C11" s="74"/>
      <c r="D11" s="48" t="s">
        <v>100</v>
      </c>
      <c r="E11" s="50" t="s">
        <v>101</v>
      </c>
      <c r="F11" s="74" t="s">
        <v>102</v>
      </c>
      <c r="G11" s="74" t="s">
        <v>88</v>
      </c>
      <c r="H11" s="74"/>
      <c r="I11" s="74" t="s">
        <v>103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79</v>
      </c>
      <c r="AU11" s="51"/>
      <c r="AV11" s="51"/>
      <c r="AW11" s="51"/>
      <c r="AX11" s="51"/>
      <c r="AY11" s="52"/>
      <c r="AZ11" s="60">
        <f>I81+I73</f>
        <v>6431</v>
      </c>
      <c r="BA11" s="175">
        <v>5.70451</v>
      </c>
      <c r="BB11" s="174">
        <f>AZ11*BA11</f>
        <v>36685.70381</v>
      </c>
    </row>
    <row r="12" spans="1:54" ht="12.75" customHeight="1">
      <c r="A12" s="49"/>
      <c r="B12" s="49"/>
      <c r="C12" s="49"/>
      <c r="D12" s="49" t="s">
        <v>104</v>
      </c>
      <c r="E12" s="46" t="s">
        <v>104</v>
      </c>
      <c r="F12" s="49" t="s">
        <v>105</v>
      </c>
      <c r="G12" s="49"/>
      <c r="H12" s="49"/>
      <c r="I12" s="49"/>
      <c r="J12" s="48" t="s">
        <v>190</v>
      </c>
      <c r="K12" s="73" t="s">
        <v>96</v>
      </c>
      <c r="L12" s="48" t="s">
        <v>97</v>
      </c>
      <c r="M12" s="116" t="s">
        <v>229</v>
      </c>
      <c r="N12" s="117"/>
      <c r="O12" s="48" t="s">
        <v>98</v>
      </c>
      <c r="P12" s="48" t="s">
        <v>213</v>
      </c>
      <c r="Q12" s="48" t="s">
        <v>99</v>
      </c>
      <c r="R12" s="48" t="s">
        <v>89</v>
      </c>
      <c r="S12" s="48" t="s">
        <v>190</v>
      </c>
      <c r="T12" s="50" t="s">
        <v>191</v>
      </c>
      <c r="U12" s="51"/>
      <c r="V12" s="52"/>
      <c r="W12" s="45" t="s">
        <v>192</v>
      </c>
      <c r="X12" s="55"/>
      <c r="Y12" s="55"/>
      <c r="Z12" s="55"/>
      <c r="AA12" s="56"/>
      <c r="AB12" s="48" t="s">
        <v>190</v>
      </c>
      <c r="AC12" s="50" t="s">
        <v>191</v>
      </c>
      <c r="AD12" s="51"/>
      <c r="AE12" s="52"/>
      <c r="AF12" s="45" t="s">
        <v>192</v>
      </c>
      <c r="AG12" s="55"/>
      <c r="AH12" s="55"/>
      <c r="AI12" s="55"/>
      <c r="AJ12" s="56"/>
      <c r="AK12" s="48" t="s">
        <v>190</v>
      </c>
      <c r="AL12" s="50" t="s">
        <v>191</v>
      </c>
      <c r="AM12" s="51"/>
      <c r="AN12" s="52"/>
      <c r="AO12" s="45" t="s">
        <v>192</v>
      </c>
      <c r="AP12" s="55"/>
      <c r="AQ12" s="55"/>
      <c r="AR12" s="55"/>
      <c r="AS12" s="56"/>
      <c r="AT12" s="50" t="s">
        <v>80</v>
      </c>
      <c r="AU12" s="51"/>
      <c r="AV12" s="51"/>
      <c r="AW12" s="51"/>
      <c r="AX12" s="51"/>
      <c r="AY12" s="52"/>
      <c r="AZ12" s="170">
        <f>I75</f>
        <v>5309360</v>
      </c>
      <c r="BA12" s="176">
        <v>3.97372</v>
      </c>
      <c r="BB12" s="174">
        <f>AZ12*BA12</f>
        <v>21097910.0192</v>
      </c>
    </row>
    <row r="13" spans="1:54" ht="12.75" customHeigh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100</v>
      </c>
      <c r="N13" s="50" t="s">
        <v>101</v>
      </c>
      <c r="O13" s="74" t="s">
        <v>102</v>
      </c>
      <c r="P13" s="74" t="s">
        <v>88</v>
      </c>
      <c r="Q13" s="74"/>
      <c r="R13" s="74" t="s">
        <v>103</v>
      </c>
      <c r="S13" s="49"/>
      <c r="T13" s="46"/>
      <c r="U13" s="53"/>
      <c r="V13" s="54"/>
      <c r="W13" s="57" t="s">
        <v>193</v>
      </c>
      <c r="X13" s="57" t="s">
        <v>194</v>
      </c>
      <c r="Y13" s="57" t="s">
        <v>195</v>
      </c>
      <c r="Z13" s="57" t="s">
        <v>196</v>
      </c>
      <c r="AA13" s="57" t="s">
        <v>197</v>
      </c>
      <c r="AB13" s="49"/>
      <c r="AC13" s="46"/>
      <c r="AD13" s="53"/>
      <c r="AE13" s="54"/>
      <c r="AF13" s="57" t="s">
        <v>193</v>
      </c>
      <c r="AG13" s="57" t="s">
        <v>194</v>
      </c>
      <c r="AH13" s="57" t="s">
        <v>195</v>
      </c>
      <c r="AI13" s="57" t="s">
        <v>196</v>
      </c>
      <c r="AJ13" s="57" t="s">
        <v>197</v>
      </c>
      <c r="AK13" s="49"/>
      <c r="AL13" s="46"/>
      <c r="AM13" s="53"/>
      <c r="AN13" s="54"/>
      <c r="AO13" s="57" t="s">
        <v>193</v>
      </c>
      <c r="AP13" s="57" t="s">
        <v>194</v>
      </c>
      <c r="AQ13" s="57" t="s">
        <v>195</v>
      </c>
      <c r="AR13" s="57" t="s">
        <v>196</v>
      </c>
      <c r="AS13" s="57" t="s">
        <v>197</v>
      </c>
      <c r="AT13" s="45" t="s">
        <v>73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 customHeight="1">
      <c r="A14" s="46"/>
      <c r="B14" s="53"/>
      <c r="C14" s="209" t="s">
        <v>106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104</v>
      </c>
      <c r="N14" s="46" t="s">
        <v>104</v>
      </c>
      <c r="O14" s="49" t="s">
        <v>105</v>
      </c>
      <c r="P14" s="49"/>
      <c r="Q14" s="49"/>
      <c r="R14" s="49"/>
      <c r="S14" s="57">
        <v>1</v>
      </c>
      <c r="T14" s="44" t="s">
        <v>64</v>
      </c>
      <c r="U14" s="44"/>
      <c r="V14" s="44"/>
      <c r="W14" s="60">
        <f aca="true" t="shared" si="0" ref="W14:W25">SUM(X14:AA14)</f>
        <v>1789355</v>
      </c>
      <c r="X14" s="60">
        <f>SUM(X15:X26)</f>
        <v>1486662</v>
      </c>
      <c r="Y14" s="60">
        <f>SUM(Y15:Y27)</f>
        <v>0</v>
      </c>
      <c r="Z14" s="60">
        <f>SUM(Z15:Z26)</f>
        <v>302693</v>
      </c>
      <c r="AA14" s="57">
        <f>SUM(AA15:AA27)</f>
        <v>0</v>
      </c>
      <c r="AB14" s="57"/>
      <c r="AC14" s="44" t="s">
        <v>43</v>
      </c>
      <c r="AD14" s="44"/>
      <c r="AE14" s="44"/>
      <c r="AF14" s="67">
        <f>SUM(AG14:AJ14)</f>
        <v>156949</v>
      </c>
      <c r="AG14" s="60">
        <f>SUM(AG16:AG22)</f>
        <v>152065</v>
      </c>
      <c r="AH14" s="60">
        <f>SUM(AH16:AH22)</f>
        <v>0</v>
      </c>
      <c r="AI14" s="60">
        <f>SUM(AI16:AI22)</f>
        <v>4884</v>
      </c>
      <c r="AJ14" s="57">
        <f>SUM(AJ16:AJ22)</f>
        <v>0</v>
      </c>
      <c r="AK14" s="73">
        <v>1</v>
      </c>
      <c r="AL14" s="48" t="s">
        <v>43</v>
      </c>
      <c r="AM14" s="48"/>
      <c r="AN14" s="48"/>
      <c r="AO14" s="75">
        <f>SUM(AP14:AS14)</f>
        <v>52746</v>
      </c>
      <c r="AP14" s="75">
        <f>SUM(AP16:AP17)</f>
        <v>0</v>
      </c>
      <c r="AQ14" s="75">
        <f>SUM(AQ16:AQ17)</f>
        <v>0</v>
      </c>
      <c r="AR14" s="75">
        <f>ROUND(SUM(AR16:AR20),0)</f>
        <v>52746</v>
      </c>
      <c r="AS14" s="73">
        <f>SUM(AS16:AS17)</f>
        <v>0</v>
      </c>
      <c r="AT14" s="49" t="s">
        <v>219</v>
      </c>
      <c r="AU14" s="49"/>
      <c r="AV14" s="49"/>
      <c r="AW14" s="49"/>
      <c r="AX14" s="49"/>
      <c r="AY14" s="49"/>
      <c r="AZ14" s="170">
        <f>SUM(AZ15:AZ21)</f>
        <v>310</v>
      </c>
      <c r="BA14" s="177"/>
      <c r="BB14" s="174">
        <f>SUM(BB15:BB21)</f>
        <v>989.3</v>
      </c>
    </row>
    <row r="15" spans="1:54" ht="12.75" customHeight="1">
      <c r="A15" s="46"/>
      <c r="B15" s="45" t="s">
        <v>258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50</v>
      </c>
      <c r="T15" s="50" t="s">
        <v>28</v>
      </c>
      <c r="U15" s="51"/>
      <c r="V15" s="51"/>
      <c r="W15" s="67">
        <f t="shared" si="0"/>
        <v>469613</v>
      </c>
      <c r="X15" s="88">
        <f>ROUND(I20,0)</f>
        <v>469613</v>
      </c>
      <c r="Y15" s="73">
        <v>0</v>
      </c>
      <c r="Z15" s="73">
        <v>0</v>
      </c>
      <c r="AA15" s="73">
        <v>0</v>
      </c>
      <c r="AB15" s="73">
        <v>1</v>
      </c>
      <c r="AC15" s="50" t="s">
        <v>278</v>
      </c>
      <c r="AD15" s="51"/>
      <c r="AE15" s="52"/>
      <c r="AF15" s="66"/>
      <c r="AG15" s="69"/>
      <c r="AH15" s="69"/>
      <c r="AI15" s="69"/>
      <c r="AJ15" s="192"/>
      <c r="AK15" s="208"/>
      <c r="AL15" s="50" t="s">
        <v>280</v>
      </c>
      <c r="AM15" s="51"/>
      <c r="AN15" s="52"/>
      <c r="AO15" s="75"/>
      <c r="AP15" s="73"/>
      <c r="AQ15" s="73"/>
      <c r="AR15" s="75"/>
      <c r="AS15" s="73"/>
      <c r="AT15" s="52" t="s">
        <v>74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 customHeight="1">
      <c r="A16" s="73">
        <v>1</v>
      </c>
      <c r="B16" s="48" t="s">
        <v>146</v>
      </c>
      <c r="C16" s="90">
        <v>804152757</v>
      </c>
      <c r="D16" s="121">
        <v>5543.6687</v>
      </c>
      <c r="E16" s="121">
        <v>5631.0677</v>
      </c>
      <c r="F16" s="60">
        <v>36000</v>
      </c>
      <c r="G16" s="142">
        <f>E16-D16</f>
        <v>87.39899999999943</v>
      </c>
      <c r="H16" s="44"/>
      <c r="I16" s="60">
        <f>ROUND((F16*G16+H16),0)</f>
        <v>3146364</v>
      </c>
      <c r="J16" s="46"/>
      <c r="K16" s="53"/>
      <c r="L16" s="53" t="s">
        <v>106</v>
      </c>
      <c r="M16" s="53"/>
      <c r="N16" s="53"/>
      <c r="O16" s="53"/>
      <c r="P16" s="53"/>
      <c r="Q16" s="53"/>
      <c r="R16" s="54"/>
      <c r="S16" s="61" t="s">
        <v>51</v>
      </c>
      <c r="T16" s="63" t="s">
        <v>29</v>
      </c>
      <c r="U16" s="64"/>
      <c r="V16" s="64"/>
      <c r="W16" s="67">
        <f t="shared" si="0"/>
        <v>105695</v>
      </c>
      <c r="X16" s="81">
        <f>ROUND(I27,0)</f>
        <v>105695</v>
      </c>
      <c r="Y16" s="70">
        <v>0</v>
      </c>
      <c r="Z16" s="67">
        <v>0</v>
      </c>
      <c r="AA16" s="70">
        <v>0</v>
      </c>
      <c r="AB16" s="61" t="s">
        <v>50</v>
      </c>
      <c r="AC16" s="63" t="s">
        <v>198</v>
      </c>
      <c r="AD16" s="64"/>
      <c r="AE16" s="65"/>
      <c r="AF16" s="67">
        <f>AG16+AH16+AI16+AJ16</f>
        <v>152065</v>
      </c>
      <c r="AG16" s="67">
        <v>152065</v>
      </c>
      <c r="AH16" s="70">
        <v>0</v>
      </c>
      <c r="AI16" s="67">
        <v>0</v>
      </c>
      <c r="AJ16" s="87">
        <v>0</v>
      </c>
      <c r="AK16" s="61" t="s">
        <v>50</v>
      </c>
      <c r="AL16" s="63" t="s">
        <v>16</v>
      </c>
      <c r="AM16" s="64"/>
      <c r="AN16" s="65"/>
      <c r="AO16" s="67">
        <f>AP16+AQ16+AR16+AS16</f>
        <v>185</v>
      </c>
      <c r="AP16" s="70">
        <v>0</v>
      </c>
      <c r="AQ16" s="70">
        <v>0</v>
      </c>
      <c r="AR16" s="67">
        <v>185</v>
      </c>
      <c r="AS16" s="70">
        <v>0</v>
      </c>
      <c r="AT16" s="52" t="s">
        <v>74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 customHeight="1">
      <c r="A17" s="49"/>
      <c r="B17" s="46" t="s">
        <v>147</v>
      </c>
      <c r="C17" s="106">
        <v>109054169</v>
      </c>
      <c r="D17" s="121">
        <v>8476.9944</v>
      </c>
      <c r="E17" s="121">
        <v>8577.7616</v>
      </c>
      <c r="F17" s="60">
        <v>36000</v>
      </c>
      <c r="G17" s="142">
        <f>E17-D17</f>
        <v>100.76720000000023</v>
      </c>
      <c r="H17" s="44"/>
      <c r="I17" s="60">
        <f>F17*G17+H17</f>
        <v>3627619.200000008</v>
      </c>
      <c r="J17" s="44"/>
      <c r="K17" s="45" t="s">
        <v>107</v>
      </c>
      <c r="L17" s="55"/>
      <c r="M17" s="55"/>
      <c r="N17" s="55"/>
      <c r="O17" s="55"/>
      <c r="P17" s="55"/>
      <c r="Q17" s="55"/>
      <c r="R17" s="56"/>
      <c r="S17" s="61" t="s">
        <v>52</v>
      </c>
      <c r="T17" s="63" t="s">
        <v>30</v>
      </c>
      <c r="U17" s="64"/>
      <c r="V17" s="64"/>
      <c r="W17" s="67">
        <f t="shared" si="0"/>
        <v>119484</v>
      </c>
      <c r="X17" s="81">
        <f>ROUND(I29,0)</f>
        <v>119484</v>
      </c>
      <c r="Y17" s="70">
        <v>0</v>
      </c>
      <c r="Z17" s="67">
        <v>0</v>
      </c>
      <c r="AA17" s="70">
        <v>0</v>
      </c>
      <c r="AB17" s="61" t="s">
        <v>51</v>
      </c>
      <c r="AC17" s="63" t="s">
        <v>72</v>
      </c>
      <c r="AD17" s="64"/>
      <c r="AE17" s="65"/>
      <c r="AF17" s="67">
        <f>AG17+AH17+AI17+AJ17</f>
        <v>2396</v>
      </c>
      <c r="AG17" s="70">
        <v>0</v>
      </c>
      <c r="AH17" s="70">
        <v>0</v>
      </c>
      <c r="AI17" s="67">
        <v>2396</v>
      </c>
      <c r="AJ17" s="87">
        <v>0</v>
      </c>
      <c r="AK17" s="61" t="s">
        <v>51</v>
      </c>
      <c r="AL17" s="63" t="s">
        <v>166</v>
      </c>
      <c r="AM17" s="64"/>
      <c r="AN17" s="65"/>
      <c r="AO17" s="67">
        <f>AP17+AQ17+AR17+AS17</f>
        <v>202</v>
      </c>
      <c r="AP17" s="70">
        <v>0</v>
      </c>
      <c r="AQ17" s="70">
        <v>0</v>
      </c>
      <c r="AR17" s="67">
        <v>202</v>
      </c>
      <c r="AS17" s="70">
        <v>0</v>
      </c>
      <c r="AT17" s="51" t="s">
        <v>46</v>
      </c>
      <c r="AU17" s="51"/>
      <c r="AV17" s="51"/>
      <c r="AW17" s="51"/>
      <c r="AX17" s="51"/>
      <c r="AY17" s="52"/>
      <c r="AZ17" s="170">
        <f>R21</f>
        <v>160</v>
      </c>
      <c r="BA17" s="180">
        <v>3.59</v>
      </c>
      <c r="BB17" s="174">
        <f>AZ17*BA17</f>
        <v>574.4</v>
      </c>
    </row>
    <row r="18" spans="1:54" ht="12.75" customHeight="1">
      <c r="A18" s="45"/>
      <c r="B18" s="55"/>
      <c r="C18" s="53"/>
      <c r="D18" s="55"/>
      <c r="E18" s="55"/>
      <c r="F18" s="107" t="s">
        <v>109</v>
      </c>
      <c r="G18" s="55"/>
      <c r="H18" s="56"/>
      <c r="I18" s="60">
        <f>ROUND((I16+I17+I22),0)</f>
        <v>6838757</v>
      </c>
      <c r="J18" s="57">
        <v>1</v>
      </c>
      <c r="K18" s="45" t="s">
        <v>108</v>
      </c>
      <c r="L18" s="55"/>
      <c r="M18" s="55"/>
      <c r="N18" s="55"/>
      <c r="O18" s="55"/>
      <c r="P18" s="55"/>
      <c r="Q18" s="55"/>
      <c r="R18" s="56"/>
      <c r="S18" s="61" t="s">
        <v>53</v>
      </c>
      <c r="T18" s="63" t="s">
        <v>31</v>
      </c>
      <c r="U18" s="64"/>
      <c r="V18" s="64"/>
      <c r="W18" s="67">
        <f t="shared" si="0"/>
        <v>239282</v>
      </c>
      <c r="X18" s="81">
        <f>ROUND(I31,0)</f>
        <v>239282</v>
      </c>
      <c r="Y18" s="70">
        <v>0</v>
      </c>
      <c r="Z18" s="67">
        <v>0</v>
      </c>
      <c r="AA18" s="70">
        <v>0</v>
      </c>
      <c r="AB18" s="62" t="s">
        <v>52</v>
      </c>
      <c r="AC18" s="53" t="s">
        <v>61</v>
      </c>
      <c r="AD18" s="53"/>
      <c r="AE18" s="53"/>
      <c r="AF18" s="68">
        <f>AG18+AH18+AI18+AJ18</f>
        <v>2488</v>
      </c>
      <c r="AG18" s="71">
        <v>0</v>
      </c>
      <c r="AH18" s="71">
        <v>0</v>
      </c>
      <c r="AI18" s="68">
        <v>2488</v>
      </c>
      <c r="AJ18" s="207">
        <v>0</v>
      </c>
      <c r="AK18" s="61" t="s">
        <v>52</v>
      </c>
      <c r="AL18" s="63" t="s">
        <v>42</v>
      </c>
      <c r="AM18" s="64"/>
      <c r="AN18" s="65"/>
      <c r="AO18" s="67">
        <f>AP18+AQ18+AR18+AS18</f>
        <v>45726</v>
      </c>
      <c r="AP18" s="70">
        <v>0</v>
      </c>
      <c r="AQ18" s="70">
        <v>0</v>
      </c>
      <c r="AR18" s="67">
        <v>45726</v>
      </c>
      <c r="AS18" s="70">
        <v>0</v>
      </c>
      <c r="AT18" s="51" t="s">
        <v>47</v>
      </c>
      <c r="AU18" s="51"/>
      <c r="AV18" s="51"/>
      <c r="AW18" s="51"/>
      <c r="AX18" s="51"/>
      <c r="AY18" s="52"/>
      <c r="AZ18" s="170">
        <f>R22</f>
        <v>40</v>
      </c>
      <c r="BA18" s="180">
        <v>1.71</v>
      </c>
      <c r="BB18" s="174">
        <f>AZ18*BA18</f>
        <v>68.4</v>
      </c>
    </row>
    <row r="19" spans="1:54" ht="12.75" customHeight="1">
      <c r="A19" s="44" t="s">
        <v>110</v>
      </c>
      <c r="B19" s="45" t="s">
        <v>230</v>
      </c>
      <c r="C19" s="55"/>
      <c r="D19" s="55"/>
      <c r="E19" s="55"/>
      <c r="F19" s="55"/>
      <c r="G19" s="55"/>
      <c r="H19" s="55"/>
      <c r="I19" s="56"/>
      <c r="J19" s="73" t="s">
        <v>110</v>
      </c>
      <c r="K19" s="48" t="s">
        <v>176</v>
      </c>
      <c r="L19" s="73">
        <v>16654</v>
      </c>
      <c r="M19" s="124">
        <v>7198</v>
      </c>
      <c r="N19" s="124">
        <v>7308</v>
      </c>
      <c r="O19" s="73">
        <v>1</v>
      </c>
      <c r="P19" s="148">
        <f>N19-M19</f>
        <v>110</v>
      </c>
      <c r="Q19" s="149"/>
      <c r="R19" s="75">
        <f>O19*P19+Q19</f>
        <v>110</v>
      </c>
      <c r="S19" s="61" t="s">
        <v>58</v>
      </c>
      <c r="T19" s="63" t="s">
        <v>32</v>
      </c>
      <c r="U19" s="64"/>
      <c r="V19" s="64"/>
      <c r="W19" s="67">
        <f t="shared" si="0"/>
        <v>56</v>
      </c>
      <c r="X19" s="81">
        <f>ROUND(I33,0)</f>
        <v>56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53</v>
      </c>
      <c r="AL19" s="63" t="s">
        <v>63</v>
      </c>
      <c r="AM19" s="64"/>
      <c r="AN19" s="65"/>
      <c r="AO19" s="67">
        <f>AP19+AQ19+AR19+AS19</f>
        <v>323</v>
      </c>
      <c r="AP19" s="67">
        <v>0</v>
      </c>
      <c r="AQ19" s="70">
        <v>0</v>
      </c>
      <c r="AR19" s="67">
        <v>323</v>
      </c>
      <c r="AS19" s="70">
        <v>0</v>
      </c>
      <c r="AT19" s="51" t="s">
        <v>81</v>
      </c>
      <c r="AU19" s="51"/>
      <c r="AV19" s="51"/>
      <c r="AW19" s="51"/>
      <c r="AX19" s="51"/>
      <c r="AY19" s="52"/>
      <c r="AZ19" s="181">
        <f>R19+R20</f>
        <v>110</v>
      </c>
      <c r="BA19" s="180">
        <v>3.15</v>
      </c>
      <c r="BB19" s="174">
        <f>AZ19*BA19</f>
        <v>346.5</v>
      </c>
    </row>
    <row r="20" spans="1:54" ht="12.75" customHeight="1">
      <c r="A20" s="44" t="s">
        <v>112</v>
      </c>
      <c r="B20" s="44" t="s">
        <v>113</v>
      </c>
      <c r="C20" s="106">
        <v>109053225</v>
      </c>
      <c r="D20" s="121">
        <v>20226.8263</v>
      </c>
      <c r="E20" s="121">
        <v>20249.1888</v>
      </c>
      <c r="F20" s="60">
        <v>21000</v>
      </c>
      <c r="G20" s="142">
        <f>E20-D20</f>
        <v>22.362499999999272</v>
      </c>
      <c r="H20" s="44"/>
      <c r="I20" s="233">
        <f>ROUND((F20*G20+H20),0)+1</f>
        <v>469613</v>
      </c>
      <c r="J20" s="49"/>
      <c r="K20" s="49" t="s">
        <v>177</v>
      </c>
      <c r="L20" s="49"/>
      <c r="M20" s="49"/>
      <c r="N20" s="49"/>
      <c r="O20" s="49"/>
      <c r="P20" s="80"/>
      <c r="Q20" s="150"/>
      <c r="R20" s="166"/>
      <c r="S20" s="61" t="s">
        <v>62</v>
      </c>
      <c r="T20" s="63" t="s">
        <v>33</v>
      </c>
      <c r="U20" s="64"/>
      <c r="V20" s="64"/>
      <c r="W20" s="67">
        <f t="shared" si="0"/>
        <v>220854</v>
      </c>
      <c r="X20" s="81">
        <f>ROUND(I35,0)</f>
        <v>220854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58</v>
      </c>
      <c r="AL20" s="46" t="s">
        <v>279</v>
      </c>
      <c r="AM20" s="53"/>
      <c r="AN20" s="54"/>
      <c r="AO20" s="68">
        <f>AP20+AQ20+AR20+AS20</f>
        <v>6310</v>
      </c>
      <c r="AP20" s="68"/>
      <c r="AQ20" s="71"/>
      <c r="AR20" s="68">
        <v>6310</v>
      </c>
      <c r="AS20" s="71"/>
      <c r="AT20" s="51" t="s">
        <v>218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 customHeight="1">
      <c r="A21" s="44" t="s">
        <v>259</v>
      </c>
      <c r="B21" s="55" t="s">
        <v>262</v>
      </c>
      <c r="C21" s="53"/>
      <c r="D21" s="55"/>
      <c r="E21" s="55"/>
      <c r="F21" s="107"/>
      <c r="G21" s="55"/>
      <c r="H21" s="56"/>
      <c r="I21" s="60"/>
      <c r="J21" s="48" t="s">
        <v>116</v>
      </c>
      <c r="K21" s="48" t="s">
        <v>179</v>
      </c>
      <c r="L21" s="225">
        <v>122848480</v>
      </c>
      <c r="M21" s="224">
        <v>596</v>
      </c>
      <c r="N21" s="224">
        <v>604</v>
      </c>
      <c r="O21" s="57">
        <v>20</v>
      </c>
      <c r="P21" s="223">
        <f>N21-M21</f>
        <v>8</v>
      </c>
      <c r="Q21" s="151"/>
      <c r="R21" s="60">
        <f>O21*P21+Q21</f>
        <v>160</v>
      </c>
      <c r="S21" s="61" t="s">
        <v>65</v>
      </c>
      <c r="T21" s="63" t="s">
        <v>34</v>
      </c>
      <c r="U21" s="64"/>
      <c r="V21" s="64"/>
      <c r="W21" s="67">
        <f t="shared" si="0"/>
        <v>146976</v>
      </c>
      <c r="X21" s="81">
        <f>ROUND(I37,0)</f>
        <v>146976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 customHeight="1">
      <c r="A22" s="44" t="s">
        <v>260</v>
      </c>
      <c r="B22" s="45" t="s">
        <v>263</v>
      </c>
      <c r="C22" s="55"/>
      <c r="D22" s="55"/>
      <c r="E22" s="55"/>
      <c r="F22" s="55"/>
      <c r="G22" s="55"/>
      <c r="H22" s="56"/>
      <c r="I22" s="170">
        <v>64774</v>
      </c>
      <c r="J22" s="49"/>
      <c r="K22" s="49" t="s">
        <v>178</v>
      </c>
      <c r="L22" s="225">
        <v>122848480</v>
      </c>
      <c r="M22" s="224">
        <v>164</v>
      </c>
      <c r="N22" s="224">
        <v>166</v>
      </c>
      <c r="O22" s="57">
        <v>20</v>
      </c>
      <c r="P22" s="223">
        <f>N22-M22</f>
        <v>2</v>
      </c>
      <c r="Q22" s="151"/>
      <c r="R22" s="60">
        <f>O22*P22+Q22</f>
        <v>40</v>
      </c>
      <c r="S22" s="61" t="s">
        <v>66</v>
      </c>
      <c r="T22" s="63" t="s">
        <v>35</v>
      </c>
      <c r="U22" s="64"/>
      <c r="V22" s="64"/>
      <c r="W22" s="67">
        <f t="shared" si="0"/>
        <v>184702</v>
      </c>
      <c r="X22" s="81">
        <f>ROUND(I39,0)</f>
        <v>184702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 customHeight="1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164</v>
      </c>
      <c r="Q23" s="137"/>
      <c r="R23" s="60">
        <f>R19+R21+R22+R20</f>
        <v>310</v>
      </c>
      <c r="S23" s="61" t="s">
        <v>67</v>
      </c>
      <c r="T23" s="63" t="s">
        <v>36</v>
      </c>
      <c r="U23" s="64"/>
      <c r="V23" s="64"/>
      <c r="W23" s="67">
        <f t="shared" si="0"/>
        <v>237472</v>
      </c>
      <c r="X23" s="81">
        <v>0</v>
      </c>
      <c r="Y23" s="70">
        <v>0</v>
      </c>
      <c r="Z23" s="67">
        <f>I26+I25</f>
        <v>237472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 customHeight="1">
      <c r="A24" s="44" t="s">
        <v>116</v>
      </c>
      <c r="B24" s="46" t="s">
        <v>117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68</v>
      </c>
      <c r="T24" s="64" t="s">
        <v>37</v>
      </c>
      <c r="U24" s="64"/>
      <c r="V24" s="64"/>
      <c r="W24" s="67">
        <f t="shared" si="0"/>
        <v>31095</v>
      </c>
      <c r="X24" s="81">
        <v>0</v>
      </c>
      <c r="Y24" s="70">
        <v>0</v>
      </c>
      <c r="Z24" s="67">
        <f>I41</f>
        <v>31095</v>
      </c>
      <c r="AA24" s="70">
        <v>0</v>
      </c>
      <c r="AB24" s="58"/>
      <c r="AC24" s="47" t="s">
        <v>87</v>
      </c>
      <c r="AD24" s="47"/>
      <c r="AE24" s="47"/>
      <c r="AF24" s="59"/>
      <c r="AG24" s="59"/>
      <c r="AH24" s="59"/>
      <c r="AI24" s="59"/>
      <c r="AJ24" s="59"/>
      <c r="AK24" s="58"/>
      <c r="AL24" s="47" t="s">
        <v>167</v>
      </c>
      <c r="AM24" s="47"/>
      <c r="AN24" s="47"/>
      <c r="AO24" s="59"/>
      <c r="AP24" s="59"/>
      <c r="AQ24" s="59"/>
      <c r="AR24" s="59"/>
      <c r="AS24" s="59"/>
      <c r="AT24" s="152" t="s">
        <v>45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 customHeight="1">
      <c r="A25" s="48" t="s">
        <v>118</v>
      </c>
      <c r="B25" s="48" t="s">
        <v>121</v>
      </c>
      <c r="C25" s="90"/>
      <c r="D25" s="212"/>
      <c r="E25" s="212"/>
      <c r="F25" s="68"/>
      <c r="G25" s="213"/>
      <c r="H25" s="68"/>
      <c r="I25" s="68"/>
      <c r="J25" s="63" t="s">
        <v>165</v>
      </c>
      <c r="K25" s="64"/>
      <c r="L25" s="64"/>
      <c r="M25" s="64"/>
      <c r="N25" s="64"/>
      <c r="O25" s="64"/>
      <c r="P25" s="85"/>
      <c r="Q25" s="128"/>
      <c r="R25" s="141"/>
      <c r="S25" s="61" t="s">
        <v>69</v>
      </c>
      <c r="T25" s="64" t="s">
        <v>38</v>
      </c>
      <c r="U25" s="64"/>
      <c r="V25" s="64"/>
      <c r="W25" s="67">
        <f t="shared" si="0"/>
        <v>28389</v>
      </c>
      <c r="X25" s="81">
        <v>0</v>
      </c>
      <c r="Y25" s="70">
        <v>0</v>
      </c>
      <c r="Z25" s="67">
        <f>I43</f>
        <v>28389</v>
      </c>
      <c r="AA25" s="70">
        <v>0</v>
      </c>
      <c r="AB25" s="58"/>
      <c r="AC25" s="47" t="s">
        <v>270</v>
      </c>
      <c r="AD25" s="47"/>
      <c r="AE25" s="47"/>
      <c r="AF25" s="47"/>
      <c r="AG25" s="47"/>
      <c r="AH25" s="47"/>
      <c r="AI25" s="47"/>
      <c r="AJ25" s="47"/>
      <c r="AK25" s="58"/>
      <c r="AL25" s="47" t="s">
        <v>270</v>
      </c>
      <c r="AM25" s="47"/>
      <c r="AN25" s="47"/>
      <c r="AO25" s="47"/>
      <c r="AP25" s="47"/>
      <c r="AQ25" s="47"/>
      <c r="AR25" s="47"/>
      <c r="AS25" s="47"/>
      <c r="AT25" s="46" t="s">
        <v>82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 customHeight="1">
      <c r="A26" s="49"/>
      <c r="B26" s="49" t="s">
        <v>119</v>
      </c>
      <c r="C26" s="91">
        <v>109056121</v>
      </c>
      <c r="D26" s="212">
        <v>22479.7283</v>
      </c>
      <c r="E26" s="212">
        <v>22529.2015</v>
      </c>
      <c r="F26" s="68">
        <v>4800</v>
      </c>
      <c r="G26" s="213">
        <f aca="true" t="shared" si="1" ref="G26:G43">E26-D26</f>
        <v>49.47320000000036</v>
      </c>
      <c r="H26" s="68"/>
      <c r="I26" s="236">
        <f>ROUND(F26*G26+H26,0)+1</f>
        <v>237472</v>
      </c>
      <c r="J26" s="114" t="s">
        <v>290</v>
      </c>
      <c r="K26" s="115"/>
      <c r="L26" s="115"/>
      <c r="M26" s="86"/>
      <c r="N26" s="53"/>
      <c r="O26" s="53"/>
      <c r="P26" s="53"/>
      <c r="Q26" s="53"/>
      <c r="R26" s="102"/>
      <c r="S26" s="62" t="s">
        <v>70</v>
      </c>
      <c r="T26" s="53" t="s">
        <v>39</v>
      </c>
      <c r="U26" s="53"/>
      <c r="V26" s="53"/>
      <c r="W26" s="68">
        <f>SUM(X26:AA26)</f>
        <v>5737</v>
      </c>
      <c r="X26" s="82">
        <v>0</v>
      </c>
      <c r="Y26" s="71">
        <v>0</v>
      </c>
      <c r="Z26" s="68">
        <f>I45+I46</f>
        <v>5737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83</v>
      </c>
      <c r="AU26" s="55"/>
      <c r="AV26" s="55"/>
      <c r="AW26" s="55"/>
      <c r="AX26" s="64"/>
      <c r="AY26" s="65"/>
      <c r="AZ26" s="185">
        <f>(X14+AG14+AP14)/1000</f>
        <v>1638.727</v>
      </c>
      <c r="BA26" s="169">
        <v>16</v>
      </c>
      <c r="BB26" s="174">
        <f>AZ26*BA26</f>
        <v>26219.632</v>
      </c>
    </row>
    <row r="27" spans="1:54" ht="12.75" customHeight="1">
      <c r="A27" s="48" t="s">
        <v>120</v>
      </c>
      <c r="B27" s="48" t="s">
        <v>132</v>
      </c>
      <c r="C27" s="90">
        <v>623125232</v>
      </c>
      <c r="D27" s="214">
        <v>9652.2082</v>
      </c>
      <c r="E27" s="214">
        <v>9710.9272</v>
      </c>
      <c r="F27" s="75">
        <v>1800</v>
      </c>
      <c r="G27" s="215">
        <f t="shared" si="1"/>
        <v>58.71900000000096</v>
      </c>
      <c r="H27" s="73"/>
      <c r="I27" s="234">
        <f>ROUND(G27*F27,0)+1</f>
        <v>105695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84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 customHeight="1">
      <c r="A28" s="49"/>
      <c r="B28" s="49" t="s">
        <v>119</v>
      </c>
      <c r="C28" s="71"/>
      <c r="D28" s="119"/>
      <c r="E28" s="119"/>
      <c r="F28" s="68"/>
      <c r="G28" s="118"/>
      <c r="H28" s="71"/>
      <c r="I28" s="68"/>
      <c r="J28" s="64" t="s">
        <v>168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224</v>
      </c>
      <c r="AC28" s="47"/>
      <c r="AD28" s="47"/>
      <c r="AE28" s="47"/>
      <c r="AF28" s="47"/>
      <c r="AG28" s="47" t="s">
        <v>225</v>
      </c>
      <c r="AH28" s="47"/>
      <c r="AI28" s="47" t="s">
        <v>226</v>
      </c>
      <c r="AJ28" s="47"/>
      <c r="AK28" s="47" t="s">
        <v>224</v>
      </c>
      <c r="AL28" s="47"/>
      <c r="AM28" s="47"/>
      <c r="AN28" s="47"/>
      <c r="AO28" s="47"/>
      <c r="AP28" s="47" t="s">
        <v>56</v>
      </c>
      <c r="AQ28" s="47"/>
      <c r="AR28" s="47" t="s">
        <v>57</v>
      </c>
      <c r="AS28" s="47"/>
      <c r="AT28" s="63" t="s">
        <v>85</v>
      </c>
      <c r="AU28" s="64"/>
      <c r="AV28" s="64"/>
      <c r="AW28" s="64"/>
      <c r="AX28" s="51"/>
      <c r="AY28" s="52"/>
      <c r="AZ28" s="185">
        <f>(Z14+AI14+AR14)/1000</f>
        <v>360.323</v>
      </c>
      <c r="BA28" s="169">
        <v>16</v>
      </c>
      <c r="BB28" s="174">
        <f>AZ28*BA28</f>
        <v>5765.168</v>
      </c>
    </row>
    <row r="29" spans="1:54" ht="12.75" customHeight="1">
      <c r="A29" s="48" t="s">
        <v>122</v>
      </c>
      <c r="B29" s="48" t="s">
        <v>133</v>
      </c>
      <c r="C29" s="90">
        <v>623125667</v>
      </c>
      <c r="D29" s="214">
        <v>12197.7388</v>
      </c>
      <c r="E29" s="214">
        <v>12264.1186</v>
      </c>
      <c r="F29" s="75">
        <v>1800</v>
      </c>
      <c r="G29" s="215">
        <f t="shared" si="1"/>
        <v>66.37980000000061</v>
      </c>
      <c r="H29" s="73"/>
      <c r="I29" s="75">
        <f>ROUND(G29*F29,0)</f>
        <v>119484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291</v>
      </c>
      <c r="AC29" s="47"/>
      <c r="AD29" s="47"/>
      <c r="AE29" s="47"/>
      <c r="AF29" s="47"/>
      <c r="AG29" s="47" t="s">
        <v>55</v>
      </c>
      <c r="AH29" s="47"/>
      <c r="AI29" s="47"/>
      <c r="AJ29" s="47"/>
      <c r="AK29" s="47" t="s">
        <v>291</v>
      </c>
      <c r="AL29" s="47"/>
      <c r="AM29" s="47"/>
      <c r="AN29" s="47"/>
      <c r="AO29" s="47"/>
      <c r="AP29" s="47" t="s">
        <v>55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 customHeight="1">
      <c r="A30" s="49"/>
      <c r="B30" s="49" t="s">
        <v>119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 customHeight="1">
      <c r="A31" s="48" t="s">
        <v>123</v>
      </c>
      <c r="B31" s="48" t="s">
        <v>134</v>
      </c>
      <c r="C31" s="90">
        <v>623126370</v>
      </c>
      <c r="D31" s="214">
        <v>3309.4089</v>
      </c>
      <c r="E31" s="214">
        <v>3359.2593</v>
      </c>
      <c r="F31" s="75">
        <v>4800</v>
      </c>
      <c r="G31" s="215">
        <f t="shared" si="1"/>
        <v>49.85040000000026</v>
      </c>
      <c r="H31" s="73"/>
      <c r="I31" s="75">
        <f>ROUND(G31*F31,0)</f>
        <v>239282</v>
      </c>
      <c r="J31" s="64"/>
      <c r="K31" s="64"/>
      <c r="L31" s="154"/>
      <c r="M31" s="78"/>
      <c r="N31" s="155" t="s">
        <v>169</v>
      </c>
      <c r="O31" s="155"/>
      <c r="P31" s="83"/>
      <c r="Q31" s="64"/>
      <c r="R31" s="85"/>
      <c r="S31" s="47" t="s">
        <v>224</v>
      </c>
      <c r="T31" s="47"/>
      <c r="U31" s="47"/>
      <c r="V31" s="47"/>
      <c r="W31" s="47"/>
      <c r="X31" s="47" t="s">
        <v>225</v>
      </c>
      <c r="Y31" s="47"/>
      <c r="Z31" s="47" t="s">
        <v>226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 customHeight="1">
      <c r="A32" s="49"/>
      <c r="B32" s="49" t="s">
        <v>119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266</v>
      </c>
      <c r="O32" s="155"/>
      <c r="P32" s="83"/>
      <c r="Q32" s="64"/>
      <c r="R32" s="85"/>
      <c r="S32" s="47" t="s">
        <v>291</v>
      </c>
      <c r="T32" s="47"/>
      <c r="U32" s="47"/>
      <c r="V32" s="47"/>
      <c r="W32" s="47"/>
      <c r="X32" s="47" t="s">
        <v>55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222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 customHeight="1">
      <c r="A33" s="48" t="s">
        <v>124</v>
      </c>
      <c r="B33" s="48" t="s">
        <v>135</v>
      </c>
      <c r="C33" s="90">
        <v>623125137</v>
      </c>
      <c r="D33" s="214">
        <v>2202.709</v>
      </c>
      <c r="E33" s="214">
        <v>2202.7208</v>
      </c>
      <c r="F33" s="75">
        <v>4800</v>
      </c>
      <c r="G33" s="215">
        <f t="shared" si="1"/>
        <v>0.011800000000221189</v>
      </c>
      <c r="H33" s="73"/>
      <c r="I33" s="234">
        <f>ROUND(G33*F33,0)-1</f>
        <v>56</v>
      </c>
      <c r="J33" s="64"/>
      <c r="K33" s="64"/>
      <c r="L33" s="154"/>
      <c r="M33" s="78"/>
      <c r="N33" s="155" t="s">
        <v>291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54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220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 customHeight="1">
      <c r="A34" s="49"/>
      <c r="B34" s="49" t="s">
        <v>119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54</v>
      </c>
      <c r="AL34" s="47"/>
      <c r="AM34" s="47"/>
      <c r="AN34" s="47"/>
      <c r="AO34" s="47"/>
      <c r="AP34" s="47"/>
      <c r="AQ34" s="47"/>
      <c r="AR34" s="47"/>
      <c r="AS34" s="47"/>
      <c r="AT34" s="50" t="s">
        <v>223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 customHeight="1">
      <c r="A35" s="48" t="s">
        <v>125</v>
      </c>
      <c r="B35" s="48" t="s">
        <v>136</v>
      </c>
      <c r="C35" s="90">
        <v>623125142</v>
      </c>
      <c r="D35" s="214">
        <v>16109.2389</v>
      </c>
      <c r="E35" s="214">
        <v>16201.2613</v>
      </c>
      <c r="F35" s="75">
        <v>2400</v>
      </c>
      <c r="G35" s="215">
        <f t="shared" si="1"/>
        <v>92.02239999999983</v>
      </c>
      <c r="H35" s="73"/>
      <c r="I35" s="75">
        <f>ROUND(G35*F35,0)</f>
        <v>220854</v>
      </c>
      <c r="J35" s="64"/>
      <c r="K35" s="64"/>
      <c r="L35" s="154"/>
      <c r="M35" s="78"/>
      <c r="N35" s="156" t="s">
        <v>171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71</v>
      </c>
      <c r="AC35" s="47"/>
      <c r="AD35" s="47"/>
      <c r="AE35" s="47"/>
      <c r="AF35" s="47"/>
      <c r="AG35" s="47" t="s">
        <v>41</v>
      </c>
      <c r="AH35" s="47"/>
      <c r="AI35" s="47" t="s">
        <v>40</v>
      </c>
      <c r="AJ35" s="47"/>
      <c r="AK35" s="47" t="s">
        <v>227</v>
      </c>
      <c r="AL35" s="47"/>
      <c r="AM35" s="47"/>
      <c r="AN35" s="47"/>
      <c r="AO35" s="47"/>
      <c r="AP35" s="47"/>
      <c r="AQ35" s="47" t="s">
        <v>228</v>
      </c>
      <c r="AR35" s="47"/>
      <c r="AS35" s="47"/>
      <c r="AT35" s="50" t="s">
        <v>220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 customHeight="1">
      <c r="A36" s="49"/>
      <c r="B36" s="49" t="s">
        <v>119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170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86</v>
      </c>
      <c r="AC36" s="47"/>
      <c r="AD36" s="47"/>
      <c r="AE36" s="47"/>
      <c r="AF36" s="47"/>
      <c r="AG36" s="47" t="s">
        <v>55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55</v>
      </c>
      <c r="AR36" s="47"/>
      <c r="AS36" s="47"/>
      <c r="AT36" s="50" t="s">
        <v>220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 customHeight="1">
      <c r="A37" s="48" t="s">
        <v>126</v>
      </c>
      <c r="B37" s="48" t="s">
        <v>137</v>
      </c>
      <c r="C37" s="90">
        <v>623125205</v>
      </c>
      <c r="D37" s="214">
        <v>5976.6987</v>
      </c>
      <c r="E37" s="214">
        <v>6058.3521</v>
      </c>
      <c r="F37" s="75">
        <v>1800</v>
      </c>
      <c r="G37" s="215">
        <f t="shared" si="1"/>
        <v>81.65340000000015</v>
      </c>
      <c r="H37" s="73"/>
      <c r="I37" s="75">
        <f>ROUND(G37*F37,0)</f>
        <v>146976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286</v>
      </c>
      <c r="T37" s="47"/>
      <c r="U37" s="47"/>
      <c r="V37" s="47"/>
      <c r="W37" s="47"/>
      <c r="X37" s="47" t="s">
        <v>225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185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 customHeight="1">
      <c r="A38" s="49"/>
      <c r="B38" s="49" t="s">
        <v>119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55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220</v>
      </c>
      <c r="AU38" s="51"/>
      <c r="AV38" s="51" t="s">
        <v>25</v>
      </c>
      <c r="AW38" s="51"/>
      <c r="AX38" s="51"/>
      <c r="AY38" s="52"/>
      <c r="AZ38" s="170"/>
      <c r="BA38" s="182"/>
      <c r="BB38" s="169"/>
    </row>
    <row r="39" spans="1:54" ht="12.75" customHeight="1">
      <c r="A39" s="48" t="s">
        <v>127</v>
      </c>
      <c r="B39" s="48" t="s">
        <v>138</v>
      </c>
      <c r="C39" s="90">
        <v>623123704</v>
      </c>
      <c r="D39" s="214">
        <v>10754.1424</v>
      </c>
      <c r="E39" s="214">
        <v>10856.7545</v>
      </c>
      <c r="F39" s="75">
        <v>1800</v>
      </c>
      <c r="G39" s="215">
        <f t="shared" si="1"/>
        <v>102.61209999999846</v>
      </c>
      <c r="H39" s="73"/>
      <c r="I39" s="75">
        <f>ROUND(G39*F39,0)</f>
        <v>184702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221</v>
      </c>
      <c r="AU39" s="51"/>
      <c r="AV39" s="51" t="s">
        <v>218</v>
      </c>
      <c r="AW39" s="51"/>
      <c r="AX39" s="51"/>
      <c r="AY39" s="52"/>
      <c r="AZ39" s="170"/>
      <c r="BA39" s="182"/>
      <c r="BB39" s="169"/>
    </row>
    <row r="40" spans="1:54" ht="12.75" customHeight="1">
      <c r="A40" s="49"/>
      <c r="B40" s="49" t="s">
        <v>119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 customHeight="1">
      <c r="A41" s="48" t="s">
        <v>128</v>
      </c>
      <c r="B41" s="48" t="s">
        <v>139</v>
      </c>
      <c r="C41" s="90">
        <v>623125794</v>
      </c>
      <c r="D41" s="214">
        <v>304.7194</v>
      </c>
      <c r="E41" s="214">
        <v>321.9943</v>
      </c>
      <c r="F41" s="75">
        <v>1800</v>
      </c>
      <c r="G41" s="215">
        <f t="shared" si="1"/>
        <v>17.274900000000002</v>
      </c>
      <c r="H41" s="73"/>
      <c r="I41" s="75">
        <f>ROUND(G41*F41,0)</f>
        <v>31095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 customHeight="1">
      <c r="A42" s="49"/>
      <c r="B42" s="49" t="s">
        <v>119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 customHeight="1">
      <c r="A43" s="48" t="s">
        <v>129</v>
      </c>
      <c r="B43" s="48" t="s">
        <v>140</v>
      </c>
      <c r="C43" s="90">
        <v>623125736</v>
      </c>
      <c r="D43" s="214">
        <v>5346.9218</v>
      </c>
      <c r="E43" s="214">
        <v>5370.5795</v>
      </c>
      <c r="F43" s="75">
        <v>1200</v>
      </c>
      <c r="G43" s="215">
        <f t="shared" si="1"/>
        <v>23.65769999999975</v>
      </c>
      <c r="H43" s="73"/>
      <c r="I43" s="75">
        <f>ROUND(G43*F43,0)</f>
        <v>28389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185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 customHeight="1">
      <c r="A44" s="49"/>
      <c r="B44" s="49" t="s">
        <v>119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 customHeight="1">
      <c r="A45" s="48" t="s">
        <v>130</v>
      </c>
      <c r="B45" s="50" t="s">
        <v>131</v>
      </c>
      <c r="C45" s="90">
        <v>1110171156</v>
      </c>
      <c r="D45" s="214">
        <v>18382.3284</v>
      </c>
      <c r="E45" s="214">
        <v>18525.7512</v>
      </c>
      <c r="F45" s="75">
        <v>40</v>
      </c>
      <c r="G45" s="215">
        <f>E45-D45</f>
        <v>143.42280000000028</v>
      </c>
      <c r="H45" s="73"/>
      <c r="I45" s="75">
        <f>ROUND(G45*F45,0)</f>
        <v>5737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 customHeight="1">
      <c r="A46" s="49"/>
      <c r="B46" s="46" t="s">
        <v>119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189</v>
      </c>
      <c r="AW46" s="51"/>
      <c r="AX46" s="51"/>
      <c r="AY46" s="52"/>
      <c r="AZ46" s="170"/>
      <c r="BA46" s="187"/>
      <c r="BB46" s="169"/>
    </row>
    <row r="47" spans="1:54" ht="12.75" customHeight="1">
      <c r="A47" s="94"/>
      <c r="B47" s="55"/>
      <c r="C47" s="86"/>
      <c r="D47" s="92"/>
      <c r="E47" s="93"/>
      <c r="F47" s="93"/>
      <c r="G47" s="108" t="s">
        <v>141</v>
      </c>
      <c r="H47" s="56"/>
      <c r="I47" s="125">
        <f>ROUND((SUM(I25:I46)+I20),0)</f>
        <v>1789355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 customHeight="1">
      <c r="A48" s="48" t="s">
        <v>144</v>
      </c>
      <c r="B48" s="50" t="s">
        <v>142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 customHeight="1">
      <c r="A49" s="74"/>
      <c r="B49" s="63" t="s">
        <v>143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189</v>
      </c>
      <c r="AW49" s="51"/>
      <c r="AX49" s="51"/>
      <c r="AY49" s="52"/>
      <c r="AZ49" s="170"/>
      <c r="BA49" s="182"/>
      <c r="BB49" s="169"/>
    </row>
    <row r="50" spans="1:54" ht="12.75" customHeight="1">
      <c r="A50" s="50" t="s">
        <v>145</v>
      </c>
      <c r="B50" s="48" t="s">
        <v>235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271</v>
      </c>
      <c r="AW50" s="55"/>
      <c r="AX50" s="55"/>
      <c r="AY50" s="56"/>
      <c r="AZ50" s="170"/>
      <c r="BA50" s="182"/>
      <c r="BB50" s="169"/>
    </row>
    <row r="51" spans="1:54" ht="12.75" customHeight="1">
      <c r="A51" s="63"/>
      <c r="B51" s="74"/>
      <c r="C51" s="194">
        <v>611127627</v>
      </c>
      <c r="D51" s="191">
        <v>6667.336</v>
      </c>
      <c r="E51" s="191">
        <v>6727.1648</v>
      </c>
      <c r="F51" s="60">
        <v>40</v>
      </c>
      <c r="G51" s="142">
        <f>E51-D51</f>
        <v>59.82879999999932</v>
      </c>
      <c r="H51" s="60"/>
      <c r="I51" s="60">
        <f>ROUND(F51*G51+H51,0)+1</f>
        <v>2394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 customHeight="1">
      <c r="A52" s="63"/>
      <c r="B52" s="49" t="s">
        <v>231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 customHeight="1">
      <c r="A53" s="48" t="s">
        <v>148</v>
      </c>
      <c r="B53" s="65"/>
      <c r="C53" s="106">
        <v>810120245</v>
      </c>
      <c r="D53" s="191">
        <v>3813.195</v>
      </c>
      <c r="E53" s="191">
        <v>3822.5095</v>
      </c>
      <c r="F53" s="60">
        <v>3600</v>
      </c>
      <c r="G53" s="142">
        <f>E53-D53</f>
        <v>9.314499999999953</v>
      </c>
      <c r="H53" s="60"/>
      <c r="I53" s="60">
        <f>ROUND(F53*G53+H53,0)</f>
        <v>33532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335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 customHeight="1">
      <c r="A54" s="74"/>
      <c r="B54" s="65" t="s">
        <v>245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 customHeight="1">
      <c r="A55" s="74"/>
      <c r="B55" s="65"/>
      <c r="C55" s="103">
        <v>4050284</v>
      </c>
      <c r="D55" s="121">
        <v>4684.9037</v>
      </c>
      <c r="E55" s="121">
        <v>4717.8183</v>
      </c>
      <c r="F55" s="60">
        <v>3600</v>
      </c>
      <c r="G55" s="143">
        <f>E55-D55</f>
        <v>32.914600000000064</v>
      </c>
      <c r="H55" s="44"/>
      <c r="I55" s="233">
        <f>ROUND(F55*G55+H55,0)-1</f>
        <v>118492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 customHeight="1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 customHeight="1">
      <c r="A57" s="74" t="s">
        <v>149</v>
      </c>
      <c r="B57" s="48" t="s">
        <v>115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 customHeight="1">
      <c r="A58" s="196"/>
      <c r="B58" s="74" t="s">
        <v>114</v>
      </c>
      <c r="C58" s="194">
        <v>611127492</v>
      </c>
      <c r="D58" s="191">
        <v>23214.1432</v>
      </c>
      <c r="E58" s="191">
        <v>23338.52</v>
      </c>
      <c r="F58" s="60">
        <v>20</v>
      </c>
      <c r="G58" s="142">
        <f>E58-D58</f>
        <v>124.37680000000182</v>
      </c>
      <c r="H58" s="60"/>
      <c r="I58" s="60">
        <f>ROUND(F58*G58+H58,0)</f>
        <v>2488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49</v>
      </c>
      <c r="AW58" s="47"/>
      <c r="AX58" s="47"/>
      <c r="AY58" s="47"/>
      <c r="AZ58" s="47"/>
      <c r="BA58" s="47"/>
      <c r="BB58" s="162">
        <f>BA9</f>
        <v>3.9758138954315547</v>
      </c>
    </row>
    <row r="59" spans="1:54" ht="12.75" customHeight="1">
      <c r="A59" s="50" t="s">
        <v>150</v>
      </c>
      <c r="B59" s="48" t="s">
        <v>236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 customHeight="1">
      <c r="A60" s="197"/>
      <c r="B60" s="70" t="s">
        <v>281</v>
      </c>
      <c r="C60" s="194">
        <v>611127702</v>
      </c>
      <c r="D60" s="191">
        <v>34384.6876</v>
      </c>
      <c r="E60" s="191">
        <v>34746.1576</v>
      </c>
      <c r="F60" s="60">
        <v>60</v>
      </c>
      <c r="G60" s="142">
        <f>E60-D60</f>
        <v>361.47000000000116</v>
      </c>
      <c r="H60" s="44"/>
      <c r="I60" s="60">
        <f>ROUND(F60*G60+H60,0)</f>
        <v>21688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2.75" customHeight="1">
      <c r="A61" s="63"/>
      <c r="B61" s="70" t="s">
        <v>282</v>
      </c>
      <c r="C61" s="194">
        <v>611127555</v>
      </c>
      <c r="D61" s="191">
        <v>15683.0528</v>
      </c>
      <c r="E61" s="191">
        <v>16083.4372</v>
      </c>
      <c r="F61" s="60">
        <v>60</v>
      </c>
      <c r="G61" s="142">
        <f>E61-D61</f>
        <v>400.3844000000008</v>
      </c>
      <c r="H61" s="44"/>
      <c r="I61" s="60">
        <f>ROUND(F61*G61+H61,0)</f>
        <v>24023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 customHeight="1">
      <c r="A62" s="50" t="s">
        <v>151</v>
      </c>
      <c r="B62" s="48" t="s">
        <v>237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 customHeight="1">
      <c r="A63" s="197"/>
      <c r="B63" s="74"/>
      <c r="C63" s="194">
        <v>1110171163</v>
      </c>
      <c r="D63" s="191">
        <v>1420.2848</v>
      </c>
      <c r="E63" s="191">
        <v>1423.6552</v>
      </c>
      <c r="F63" s="60">
        <v>60</v>
      </c>
      <c r="G63" s="142">
        <f>E63-D63</f>
        <v>3.370400000000018</v>
      </c>
      <c r="H63" s="44"/>
      <c r="I63" s="60">
        <f>ROUND(F63*G63+H63,0)</f>
        <v>202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 customHeight="1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 customHeight="1">
      <c r="A65" s="50" t="s">
        <v>152</v>
      </c>
      <c r="B65" s="48" t="s">
        <v>238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 customHeight="1">
      <c r="A66" s="63"/>
      <c r="B66" s="74"/>
      <c r="C66" s="194">
        <v>1110171170</v>
      </c>
      <c r="D66" s="191">
        <v>225.7744</v>
      </c>
      <c r="E66" s="191">
        <v>230.386</v>
      </c>
      <c r="F66" s="60">
        <v>40</v>
      </c>
      <c r="G66" s="142">
        <f>E66-D66</f>
        <v>4.6115999999999815</v>
      </c>
      <c r="H66" s="60"/>
      <c r="I66" s="60">
        <f>ROUND(F66*G66+H66,0)</f>
        <v>184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 customHeight="1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 customHeight="1">
      <c r="A68" s="50" t="s">
        <v>153</v>
      </c>
      <c r="B68" s="48" t="s">
        <v>283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2.75" customHeight="1">
      <c r="A69" s="63"/>
      <c r="B69" s="74" t="s">
        <v>284</v>
      </c>
      <c r="C69" s="194">
        <v>611126404</v>
      </c>
      <c r="D69" s="191">
        <v>641.4448</v>
      </c>
      <c r="E69" s="191">
        <v>645.1402</v>
      </c>
      <c r="F69" s="60">
        <v>1800</v>
      </c>
      <c r="G69" s="142">
        <f>E69-D69</f>
        <v>3.6954000000000633</v>
      </c>
      <c r="H69" s="60"/>
      <c r="I69" s="60">
        <f>ROUND((F69*G69+H69),0)</f>
        <v>6652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 customHeight="1">
      <c r="A70" s="46"/>
      <c r="B70" s="49" t="s">
        <v>247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 customHeight="1">
      <c r="A71" s="63" t="s">
        <v>233</v>
      </c>
      <c r="B71" s="74" t="s">
        <v>239</v>
      </c>
      <c r="C71" s="194">
        <v>611127724</v>
      </c>
      <c r="D71" s="191">
        <v>2120.0336</v>
      </c>
      <c r="E71" s="191">
        <v>2130.8052</v>
      </c>
      <c r="F71" s="60">
        <v>30</v>
      </c>
      <c r="G71" s="142">
        <f>E71-D71</f>
        <v>10.77159999999958</v>
      </c>
      <c r="H71" s="60"/>
      <c r="I71" s="60">
        <f>ROUND(F71*G71+H71,0)</f>
        <v>323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 customHeight="1">
      <c r="A72" s="46"/>
      <c r="B72" s="74" t="s">
        <v>277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 customHeight="1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 customHeight="1">
      <c r="A74" s="46"/>
      <c r="B74" s="53"/>
      <c r="C74" s="55"/>
      <c r="D74" s="55"/>
      <c r="E74" s="55"/>
      <c r="F74" s="55" t="s">
        <v>154</v>
      </c>
      <c r="G74" s="55"/>
      <c r="H74" s="56"/>
      <c r="I74" s="125">
        <f>ROUND((SUM(I50:I69)-I73),0)</f>
        <v>209655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 customHeight="1">
      <c r="A75" s="45"/>
      <c r="B75" s="55"/>
      <c r="C75" s="55"/>
      <c r="D75" s="55"/>
      <c r="E75" s="55"/>
      <c r="F75" s="55"/>
      <c r="G75" s="55" t="s">
        <v>155</v>
      </c>
      <c r="H75" s="56"/>
      <c r="I75" s="125">
        <f>ROUND((I18+I20-I47-I74),0)</f>
        <v>5309360</v>
      </c>
      <c r="J75" s="64"/>
      <c r="K75" s="64">
        <f>I18+I20+I22-I47-I74</f>
        <v>5374134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 customHeight="1">
      <c r="A76" s="44" t="s">
        <v>162</v>
      </c>
      <c r="B76" s="45" t="s">
        <v>156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 customHeight="1">
      <c r="A77" s="48" t="s">
        <v>160</v>
      </c>
      <c r="B77" s="48" t="s">
        <v>157</v>
      </c>
      <c r="C77" s="73">
        <v>18705639</v>
      </c>
      <c r="D77" s="124">
        <v>20209</v>
      </c>
      <c r="E77" s="124">
        <v>20380</v>
      </c>
      <c r="F77" s="75">
        <v>30</v>
      </c>
      <c r="G77" s="211">
        <f>E77-D77</f>
        <v>171</v>
      </c>
      <c r="H77" s="48">
        <v>1301</v>
      </c>
      <c r="I77" s="75">
        <f>F77*G77+H77</f>
        <v>6431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 customHeight="1">
      <c r="A78" s="49"/>
      <c r="B78" s="49" t="s">
        <v>158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 customHeight="1">
      <c r="A79" s="48" t="s">
        <v>161</v>
      </c>
      <c r="B79" s="48" t="s">
        <v>159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 customHeight="1">
      <c r="A80" s="49"/>
      <c r="B80" s="49" t="s">
        <v>158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 customHeight="1">
      <c r="A81" s="45"/>
      <c r="B81" s="55"/>
      <c r="C81" s="109"/>
      <c r="D81" s="92"/>
      <c r="E81" s="110"/>
      <c r="F81" s="110" t="s">
        <v>163</v>
      </c>
      <c r="G81" s="111"/>
      <c r="H81" s="56"/>
      <c r="I81" s="60">
        <f>I77+I79</f>
        <v>6431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 customHeight="1">
      <c r="A82" s="45"/>
      <c r="B82" s="55"/>
      <c r="C82" s="109"/>
      <c r="D82" s="92"/>
      <c r="E82" s="110"/>
      <c r="F82" s="110"/>
      <c r="G82" s="111" t="s">
        <v>164</v>
      </c>
      <c r="H82" s="56"/>
      <c r="I82" s="125">
        <f>I75+I81</f>
        <v>5315791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 customHeight="1">
      <c r="A83" s="50" t="s">
        <v>165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 customHeight="1">
      <c r="A84" s="114" t="s">
        <v>290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 customHeight="1">
      <c r="A85" s="64" t="s">
        <v>168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 customHeight="1">
      <c r="A86" s="64"/>
      <c r="B86" s="64"/>
      <c r="C86" s="78"/>
      <c r="D86" s="202" t="s">
        <v>169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 customHeight="1">
      <c r="A87" s="64"/>
      <c r="B87" s="64"/>
      <c r="C87" s="78"/>
      <c r="D87" s="202" t="s">
        <v>268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 customHeight="1">
      <c r="A88" s="64"/>
      <c r="B88" s="64"/>
      <c r="C88" s="154"/>
      <c r="D88" s="202" t="s">
        <v>291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 customHeight="1">
      <c r="A89" s="47"/>
      <c r="B89" s="47"/>
      <c r="C89" s="47"/>
      <c r="D89" s="47" t="s">
        <v>90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267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 customHeight="1">
      <c r="A90" s="47"/>
      <c r="B90" s="47"/>
      <c r="C90" s="47"/>
      <c r="D90" s="47" t="s">
        <v>91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272</v>
      </c>
      <c r="AU90" s="47"/>
      <c r="AV90" s="47"/>
      <c r="AW90" s="47"/>
      <c r="AX90" s="47"/>
      <c r="AY90" s="47"/>
      <c r="AZ90" s="47"/>
      <c r="BA90" s="47"/>
      <c r="BB90" s="47"/>
    </row>
    <row r="91" spans="1:54" ht="12.75" customHeight="1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205</v>
      </c>
      <c r="AZ91" s="89" t="s">
        <v>295</v>
      </c>
      <c r="BA91" s="47"/>
      <c r="BB91" s="47"/>
    </row>
    <row r="92" spans="1:54" ht="12.75" customHeight="1">
      <c r="A92" s="47"/>
      <c r="B92" s="47"/>
      <c r="C92" s="47" t="s">
        <v>92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26</v>
      </c>
      <c r="AU92" s="55"/>
      <c r="AV92" s="55"/>
      <c r="AW92" s="55"/>
      <c r="AX92" s="55"/>
      <c r="AY92" s="56"/>
      <c r="AZ92" s="44" t="s">
        <v>75</v>
      </c>
      <c r="BA92" s="44"/>
      <c r="BB92" s="44" t="s">
        <v>27</v>
      </c>
    </row>
    <row r="93" spans="1:54" ht="12.75" customHeight="1">
      <c r="A93" s="47"/>
      <c r="B93" s="47"/>
      <c r="C93" s="47"/>
      <c r="D93" s="167" t="s">
        <v>333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182</v>
      </c>
      <c r="AU93" s="55"/>
      <c r="AV93" s="55"/>
      <c r="AW93" s="55"/>
      <c r="AX93" s="55"/>
      <c r="AY93" s="56"/>
      <c r="AZ93" s="125">
        <v>70704</v>
      </c>
      <c r="BA93" s="92"/>
      <c r="BB93" s="188">
        <f>AZ93*BB58</f>
        <v>281105.94566259265</v>
      </c>
    </row>
    <row r="94" spans="1:54" ht="12.75" customHeight="1">
      <c r="A94" s="47" t="s">
        <v>265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181</v>
      </c>
      <c r="AU94" s="55"/>
      <c r="AV94" s="55"/>
      <c r="AW94" s="55"/>
      <c r="AX94" s="55"/>
      <c r="AY94" s="56"/>
      <c r="AZ94" s="125">
        <f>AZ131-SUM(AZ112:AZ120)-AZ109-AZ103-AZ96-AZ95-AZ93</f>
        <v>4386679</v>
      </c>
      <c r="BA94" s="92"/>
      <c r="BB94" s="188">
        <f>AZ94*BB58</f>
        <v>17440619.322997797</v>
      </c>
    </row>
    <row r="95" spans="1:54" ht="12.75" customHeight="1">
      <c r="A95" s="47" t="s">
        <v>93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274</v>
      </c>
      <c r="AU95" s="55"/>
      <c r="AV95" s="55"/>
      <c r="AW95" s="55"/>
      <c r="AX95" s="55"/>
      <c r="AY95" s="56"/>
      <c r="AZ95" s="125">
        <v>97759</v>
      </c>
      <c r="BA95" s="92"/>
      <c r="BB95" s="188">
        <f>AZ95*BB58</f>
        <v>388671.5906034934</v>
      </c>
    </row>
    <row r="96" spans="1:54" ht="12.75" customHeight="1">
      <c r="A96" s="47" t="s">
        <v>95</v>
      </c>
      <c r="B96" s="47"/>
      <c r="C96" s="47"/>
      <c r="D96" s="47"/>
      <c r="E96" s="47"/>
      <c r="F96" s="47" t="s">
        <v>94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17</v>
      </c>
      <c r="AU96" s="51"/>
      <c r="AV96" s="51"/>
      <c r="AW96" s="51"/>
      <c r="AX96" s="51"/>
      <c r="AY96" s="52"/>
      <c r="AZ96" s="189">
        <f>SUM(AZ97:AZ102)</f>
        <v>630720</v>
      </c>
      <c r="BA96" s="95"/>
      <c r="BB96" s="188">
        <f>AZ96*BB58</f>
        <v>2507625.3401265903</v>
      </c>
    </row>
    <row r="97" spans="1:54" ht="12.75" customHeight="1">
      <c r="A97" s="48" t="s">
        <v>190</v>
      </c>
      <c r="B97" s="73" t="s">
        <v>96</v>
      </c>
      <c r="C97" s="48" t="s">
        <v>97</v>
      </c>
      <c r="D97" s="116" t="s">
        <v>172</v>
      </c>
      <c r="E97" s="117"/>
      <c r="F97" s="48" t="s">
        <v>98</v>
      </c>
      <c r="G97" s="48" t="s">
        <v>213</v>
      </c>
      <c r="H97" s="48" t="s">
        <v>99</v>
      </c>
      <c r="I97" s="48" t="s">
        <v>89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18</v>
      </c>
      <c r="AU97" s="64"/>
      <c r="AV97" s="64"/>
      <c r="AW97" s="64"/>
      <c r="AX97" s="64"/>
      <c r="AY97" s="65"/>
      <c r="AZ97" s="67">
        <v>168538</v>
      </c>
      <c r="BA97" s="78"/>
      <c r="BB97" s="188">
        <f>AZ97*BB58</f>
        <v>670075.7223082434</v>
      </c>
    </row>
    <row r="98" spans="1:54" ht="12.75" customHeight="1">
      <c r="A98" s="74"/>
      <c r="B98" s="74"/>
      <c r="C98" s="74"/>
      <c r="D98" s="48" t="s">
        <v>100</v>
      </c>
      <c r="E98" s="50" t="s">
        <v>101</v>
      </c>
      <c r="F98" s="74" t="s">
        <v>102</v>
      </c>
      <c r="G98" s="74" t="s">
        <v>88</v>
      </c>
      <c r="H98" s="74"/>
      <c r="I98" s="74" t="s">
        <v>103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19</v>
      </c>
      <c r="AU98" s="64"/>
      <c r="AV98" s="64"/>
      <c r="AW98" s="64"/>
      <c r="AX98" s="64"/>
      <c r="AY98" s="65"/>
      <c r="AZ98" s="67">
        <v>324144</v>
      </c>
      <c r="BA98" s="78"/>
      <c r="BB98" s="188">
        <f>AZ98*BB58</f>
        <v>1288736.219320766</v>
      </c>
    </row>
    <row r="99" spans="1:54" ht="12.75" customHeight="1">
      <c r="A99" s="49"/>
      <c r="B99" s="49"/>
      <c r="C99" s="49"/>
      <c r="D99" s="49" t="s">
        <v>104</v>
      </c>
      <c r="E99" s="46" t="s">
        <v>104</v>
      </c>
      <c r="F99" s="49" t="s">
        <v>105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20</v>
      </c>
      <c r="AU99" s="64"/>
      <c r="AV99" s="64"/>
      <c r="AW99" s="64"/>
      <c r="AX99" s="64"/>
      <c r="AY99" s="65"/>
      <c r="AZ99" s="67">
        <v>135148</v>
      </c>
      <c r="BA99" s="78"/>
      <c r="BB99" s="188">
        <f>AZ99*BB58</f>
        <v>537323.2963397837</v>
      </c>
    </row>
    <row r="100" spans="1:54" ht="12.75" customHeight="1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21</v>
      </c>
      <c r="AU100" s="64"/>
      <c r="AV100" s="64"/>
      <c r="AW100" s="64"/>
      <c r="AX100" s="64"/>
      <c r="AY100" s="65"/>
      <c r="AZ100" s="67">
        <v>200</v>
      </c>
      <c r="BA100" s="78"/>
      <c r="BB100" s="188">
        <f>AZ100*BB58</f>
        <v>795.1627790863109</v>
      </c>
    </row>
    <row r="101" spans="1:54" ht="12.75" customHeight="1">
      <c r="A101" s="46"/>
      <c r="B101" s="53"/>
      <c r="C101" s="209" t="s">
        <v>173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22</v>
      </c>
      <c r="AU101" s="64"/>
      <c r="AV101" s="64"/>
      <c r="AW101" s="64"/>
      <c r="AX101" s="64"/>
      <c r="AY101" s="65"/>
      <c r="AZ101" s="67">
        <v>1690</v>
      </c>
      <c r="BA101" s="78"/>
      <c r="BB101" s="188">
        <f>AZ101*BB58</f>
        <v>6719.125483279327</v>
      </c>
    </row>
    <row r="102" spans="1:54" ht="12.75" customHeight="1">
      <c r="A102" s="44"/>
      <c r="B102" s="45" t="s">
        <v>264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3975.8138954315546</v>
      </c>
    </row>
    <row r="103" spans="1:54" ht="12.75" customHeight="1">
      <c r="A103" s="73">
        <v>1</v>
      </c>
      <c r="B103" s="48" t="s">
        <v>146</v>
      </c>
      <c r="C103" s="90">
        <v>804152757</v>
      </c>
      <c r="D103" s="121">
        <v>2792.2498</v>
      </c>
      <c r="E103" s="121">
        <v>2839.9475</v>
      </c>
      <c r="F103" s="60">
        <v>36000</v>
      </c>
      <c r="G103" s="142">
        <f>E103-D103</f>
        <v>47.69770000000017</v>
      </c>
      <c r="H103" s="44"/>
      <c r="I103" s="60">
        <f>F103*G103+H103</f>
        <v>1717117.200000006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183</v>
      </c>
      <c r="AU103" s="51"/>
      <c r="AV103" s="51"/>
      <c r="AW103" s="51"/>
      <c r="AX103" s="51"/>
      <c r="AY103" s="52"/>
      <c r="AZ103" s="189">
        <f>SUM(AZ104:AZ108)</f>
        <v>9342</v>
      </c>
      <c r="BA103" s="95"/>
      <c r="BB103" s="188">
        <f>AZ103*BB58</f>
        <v>37142.05341112158</v>
      </c>
    </row>
    <row r="104" spans="1:54" ht="12.75" customHeight="1">
      <c r="A104" s="49"/>
      <c r="B104" s="46" t="s">
        <v>147</v>
      </c>
      <c r="C104" s="106">
        <v>109054169</v>
      </c>
      <c r="D104" s="121">
        <v>3434.5297</v>
      </c>
      <c r="E104" s="121">
        <v>3486.3476</v>
      </c>
      <c r="F104" s="60">
        <v>36000</v>
      </c>
      <c r="G104" s="142">
        <f>E104-D104</f>
        <v>51.81790000000001</v>
      </c>
      <c r="H104" s="44"/>
      <c r="I104" s="60">
        <f>F104*G104+H104</f>
        <v>1865444.4000000004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208</v>
      </c>
      <c r="AV104" s="64"/>
      <c r="AW104" s="64"/>
      <c r="AX104" s="64"/>
      <c r="AY104" s="65"/>
      <c r="AZ104" s="67">
        <v>2320</v>
      </c>
      <c r="BA104" s="78"/>
      <c r="BB104" s="188">
        <f>AZ104*BB58</f>
        <v>9223.888237401206</v>
      </c>
    </row>
    <row r="105" spans="1:54" ht="12.75" customHeight="1">
      <c r="A105" s="45"/>
      <c r="B105" s="55"/>
      <c r="C105" s="53"/>
      <c r="D105" s="55"/>
      <c r="E105" s="55"/>
      <c r="F105" s="107" t="s">
        <v>109</v>
      </c>
      <c r="G105" s="55"/>
      <c r="H105" s="56"/>
      <c r="I105" s="60">
        <f>I103+I104</f>
        <v>3582561.600000006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204</v>
      </c>
      <c r="AU105" s="64"/>
      <c r="AV105" s="64" t="s">
        <v>184</v>
      </c>
      <c r="AW105" s="64"/>
      <c r="AX105" s="64"/>
      <c r="AY105" s="65"/>
      <c r="AZ105" s="67">
        <v>6160</v>
      </c>
      <c r="BA105" s="78"/>
      <c r="BB105" s="188">
        <f>AZ105*BB58</f>
        <v>24491.013595858378</v>
      </c>
    </row>
    <row r="106" spans="1:54" ht="12.75" customHeight="1">
      <c r="A106" s="44" t="s">
        <v>110</v>
      </c>
      <c r="B106" s="45" t="s">
        <v>111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204</v>
      </c>
      <c r="AU106" s="64"/>
      <c r="AV106" s="64" t="s">
        <v>209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 customHeight="1">
      <c r="A107" s="44" t="s">
        <v>112</v>
      </c>
      <c r="B107" s="44" t="s">
        <v>113</v>
      </c>
      <c r="C107" s="106">
        <v>109053225</v>
      </c>
      <c r="D107" s="121">
        <v>8070.4326</v>
      </c>
      <c r="E107" s="121">
        <v>8078.264</v>
      </c>
      <c r="F107" s="60">
        <v>21000</v>
      </c>
      <c r="G107" s="142">
        <f>E107-D107</f>
        <v>7.831400000000031</v>
      </c>
      <c r="H107" s="44"/>
      <c r="I107" s="60">
        <f>F107*G107+H107</f>
        <v>164459.40000000063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210</v>
      </c>
      <c r="AW107" s="64"/>
      <c r="AX107" s="64"/>
      <c r="AY107" s="64"/>
      <c r="AZ107" s="67">
        <v>340</v>
      </c>
      <c r="BA107" s="70"/>
      <c r="BB107" s="188">
        <f>AZ107*BB58</f>
        <v>1351.7767244467286</v>
      </c>
    </row>
    <row r="108" spans="1:54" ht="12.75" customHeight="1">
      <c r="A108" s="44" t="s">
        <v>259</v>
      </c>
      <c r="B108" s="55" t="s">
        <v>262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60</v>
      </c>
      <c r="AU108" s="53"/>
      <c r="AV108" s="101"/>
      <c r="AW108" s="101"/>
      <c r="AX108" s="53"/>
      <c r="AY108" s="54"/>
      <c r="AZ108" s="68">
        <v>522</v>
      </c>
      <c r="BA108" s="86"/>
      <c r="BB108" s="188">
        <f>AZ108*BB58</f>
        <v>2075.3748534152714</v>
      </c>
    </row>
    <row r="109" spans="1:54" ht="12.75" customHeight="1">
      <c r="A109" s="44" t="s">
        <v>260</v>
      </c>
      <c r="B109" s="45" t="s">
        <v>263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273</v>
      </c>
      <c r="AU109" s="51"/>
      <c r="AV109" s="51"/>
      <c r="AW109" s="51"/>
      <c r="AX109" s="51"/>
      <c r="AY109" s="52"/>
      <c r="AZ109" s="189">
        <f>AZ110+AZ111</f>
        <v>25364</v>
      </c>
      <c r="BA109" s="95"/>
      <c r="BB109" s="188">
        <f>AZ109*BB58</f>
        <v>100842.54364372595</v>
      </c>
    </row>
    <row r="110" spans="1:54" ht="12.75" customHeight="1">
      <c r="A110" s="45" t="s">
        <v>261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23</v>
      </c>
      <c r="AU110" s="64"/>
      <c r="AV110" s="64"/>
      <c r="AW110" s="64"/>
      <c r="AX110" s="64"/>
      <c r="AY110" s="65"/>
      <c r="AZ110" s="67">
        <v>4708</v>
      </c>
      <c r="BA110" s="78"/>
      <c r="BB110" s="188">
        <f>AZ110*BB58</f>
        <v>18718.13181969176</v>
      </c>
    </row>
    <row r="111" spans="1:54" ht="12.75" customHeight="1">
      <c r="A111" s="44" t="s">
        <v>116</v>
      </c>
      <c r="B111" s="45" t="s">
        <v>117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24</v>
      </c>
      <c r="AU111" s="53"/>
      <c r="AV111" s="53"/>
      <c r="AW111" s="53"/>
      <c r="AX111" s="53"/>
      <c r="AY111" s="54"/>
      <c r="AZ111" s="68">
        <v>20656</v>
      </c>
      <c r="BA111" s="86"/>
      <c r="BB111" s="188">
        <f>AZ111*BB58</f>
        <v>82124.41182403419</v>
      </c>
    </row>
    <row r="112" spans="1:54" ht="12.75" customHeight="1">
      <c r="A112" s="48" t="s">
        <v>118</v>
      </c>
      <c r="B112" s="48" t="s">
        <v>121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211</v>
      </c>
      <c r="AU112" s="55"/>
      <c r="AV112" s="55"/>
      <c r="AW112" s="55"/>
      <c r="AX112" s="55"/>
      <c r="AY112" s="56"/>
      <c r="AZ112" s="125">
        <v>8500</v>
      </c>
      <c r="BA112" s="92"/>
      <c r="BB112" s="188">
        <f>AZ112*BB58</f>
        <v>33794.41811116821</v>
      </c>
    </row>
    <row r="113" spans="1:54" ht="12.75" customHeight="1">
      <c r="A113" s="49"/>
      <c r="B113" s="49" t="s">
        <v>119</v>
      </c>
      <c r="C113" s="91">
        <v>109056121</v>
      </c>
      <c r="D113" s="212">
        <v>6782.9804</v>
      </c>
      <c r="E113" s="212">
        <v>6809.8088</v>
      </c>
      <c r="F113" s="68">
        <v>4800</v>
      </c>
      <c r="G113" s="213">
        <f aca="true" t="shared" si="2" ref="G113:G132">E113-D113</f>
        <v>26.82839999999942</v>
      </c>
      <c r="H113" s="68"/>
      <c r="I113" s="68">
        <f>F113*G113+H113</f>
        <v>128776.31999999721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59</v>
      </c>
      <c r="AU113" s="55"/>
      <c r="AV113" s="55"/>
      <c r="AW113" s="55"/>
      <c r="AX113" s="55"/>
      <c r="AY113" s="56"/>
      <c r="AZ113" s="125">
        <v>20232</v>
      </c>
      <c r="BA113" s="92"/>
      <c r="BB113" s="188">
        <f>AZ113*BB58</f>
        <v>80438.66673237122</v>
      </c>
    </row>
    <row r="114" spans="1:54" ht="12.75" customHeight="1">
      <c r="A114" s="48" t="s">
        <v>120</v>
      </c>
      <c r="B114" s="48" t="s">
        <v>132</v>
      </c>
      <c r="C114" s="90">
        <v>623125232</v>
      </c>
      <c r="D114" s="214">
        <v>3152.8373</v>
      </c>
      <c r="E114" s="214">
        <v>3180.4007</v>
      </c>
      <c r="F114" s="75">
        <v>1800</v>
      </c>
      <c r="G114" s="215">
        <f t="shared" si="2"/>
        <v>27.5634</v>
      </c>
      <c r="H114" s="73"/>
      <c r="I114" s="75">
        <f>G114*F114</f>
        <v>49614.12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200</v>
      </c>
      <c r="AU114" s="55"/>
      <c r="AV114" s="55"/>
      <c r="AW114" s="55"/>
      <c r="AX114" s="55"/>
      <c r="AY114" s="56"/>
      <c r="AZ114" s="125">
        <v>13297</v>
      </c>
      <c r="BA114" s="92"/>
      <c r="BB114" s="188">
        <f>AZ114*BB58</f>
        <v>52866.397367553385</v>
      </c>
    </row>
    <row r="115" spans="1:54" ht="12.75" customHeight="1">
      <c r="A115" s="49"/>
      <c r="B115" s="49" t="s">
        <v>119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180</v>
      </c>
      <c r="AU115" s="55"/>
      <c r="AV115" s="55"/>
      <c r="AW115" s="55"/>
      <c r="AX115" s="55"/>
      <c r="AY115" s="56"/>
      <c r="AZ115" s="125">
        <v>2904</v>
      </c>
      <c r="BA115" s="92"/>
      <c r="BB115" s="188">
        <f>AZ115*BB58</f>
        <v>11545.763552333236</v>
      </c>
    </row>
    <row r="116" spans="1:54" ht="12.75" customHeight="1">
      <c r="A116" s="48" t="s">
        <v>122</v>
      </c>
      <c r="B116" s="48" t="s">
        <v>133</v>
      </c>
      <c r="C116" s="90">
        <v>623125667</v>
      </c>
      <c r="D116" s="214">
        <v>4241.7799</v>
      </c>
      <c r="E116" s="214">
        <v>4277.7372</v>
      </c>
      <c r="F116" s="75">
        <v>1800</v>
      </c>
      <c r="G116" s="215">
        <f t="shared" si="2"/>
        <v>35.95729999999912</v>
      </c>
      <c r="H116" s="73"/>
      <c r="I116" s="75">
        <f>G116*F116</f>
        <v>64723.13999999842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19000</v>
      </c>
      <c r="BA116" s="92"/>
      <c r="BB116" s="188">
        <f>AZ116*BB58</f>
        <v>75540.46401319954</v>
      </c>
    </row>
    <row r="117" spans="1:54" ht="12.75" customHeight="1">
      <c r="A117" s="49"/>
      <c r="B117" s="49" t="s">
        <v>119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5000</v>
      </c>
      <c r="BA117" s="92"/>
      <c r="BB117" s="188">
        <f>AZ117*BB58</f>
        <v>19879.069477157773</v>
      </c>
    </row>
    <row r="118" spans="1:54" ht="12.75" customHeight="1">
      <c r="A118" s="48" t="s">
        <v>123</v>
      </c>
      <c r="B118" s="48" t="s">
        <v>134</v>
      </c>
      <c r="C118" s="90">
        <v>623126370</v>
      </c>
      <c r="D118" s="214">
        <v>870.7072</v>
      </c>
      <c r="E118" s="214">
        <v>884.2432</v>
      </c>
      <c r="F118" s="75">
        <v>4800</v>
      </c>
      <c r="G118" s="215">
        <f t="shared" si="2"/>
        <v>13.536000000000058</v>
      </c>
      <c r="H118" s="73"/>
      <c r="I118" s="75">
        <f>G118*F118</f>
        <v>64972.80000000028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207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198.79069477157773</v>
      </c>
    </row>
    <row r="119" spans="1:54" ht="12.75" customHeight="1">
      <c r="A119" s="49"/>
      <c r="B119" s="49" t="s">
        <v>119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202</v>
      </c>
      <c r="AU119" s="107"/>
      <c r="AV119" s="55"/>
      <c r="AW119" s="55"/>
      <c r="AX119" s="55"/>
      <c r="AY119" s="56"/>
      <c r="AZ119" s="125">
        <v>26240</v>
      </c>
      <c r="BA119" s="92"/>
      <c r="BB119" s="188">
        <f>AZ119*BB58</f>
        <v>104325.356616124</v>
      </c>
    </row>
    <row r="120" spans="1:54" ht="12.75" customHeight="1">
      <c r="A120" s="48" t="s">
        <v>124</v>
      </c>
      <c r="B120" s="48" t="s">
        <v>135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 customHeight="1">
      <c r="A121" s="49"/>
      <c r="B121" s="49" t="s">
        <v>119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 customHeight="1">
      <c r="A122" s="48" t="s">
        <v>125</v>
      </c>
      <c r="B122" s="48" t="s">
        <v>136</v>
      </c>
      <c r="C122" s="90">
        <v>623125142</v>
      </c>
      <c r="D122" s="214">
        <v>2819.1706</v>
      </c>
      <c r="E122" s="214">
        <v>2850.1564</v>
      </c>
      <c r="F122" s="75">
        <v>2400</v>
      </c>
      <c r="G122" s="215">
        <f t="shared" si="2"/>
        <v>30.985799999999927</v>
      </c>
      <c r="H122" s="73"/>
      <c r="I122" s="75">
        <f>G122*F122</f>
        <v>74365.91999999982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 customHeight="1">
      <c r="A123" s="49"/>
      <c r="B123" s="49" t="s">
        <v>119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 customHeight="1">
      <c r="A124" s="48" t="s">
        <v>126</v>
      </c>
      <c r="B124" s="48" t="s">
        <v>137</v>
      </c>
      <c r="C124" s="90">
        <v>623125205</v>
      </c>
      <c r="D124" s="214">
        <v>2360.8325</v>
      </c>
      <c r="E124" s="214">
        <v>2401.8584</v>
      </c>
      <c r="F124" s="75">
        <v>1800</v>
      </c>
      <c r="G124" s="215">
        <f t="shared" si="2"/>
        <v>41.02590000000009</v>
      </c>
      <c r="H124" s="73"/>
      <c r="I124" s="75">
        <f>G124*F124</f>
        <v>73846.62000000017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 customHeight="1">
      <c r="A125" s="49"/>
      <c r="B125" s="49" t="s">
        <v>119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 customHeight="1">
      <c r="A126" s="48" t="s">
        <v>127</v>
      </c>
      <c r="B126" s="48" t="s">
        <v>138</v>
      </c>
      <c r="C126" s="90">
        <v>623123704</v>
      </c>
      <c r="D126" s="214">
        <v>2870.9065</v>
      </c>
      <c r="E126" s="214">
        <v>2917.4827</v>
      </c>
      <c r="F126" s="75">
        <v>1800</v>
      </c>
      <c r="G126" s="215">
        <f t="shared" si="2"/>
        <v>46.57619999999997</v>
      </c>
      <c r="H126" s="73"/>
      <c r="I126" s="75">
        <f>G126*F126</f>
        <v>83837.15999999995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 customHeight="1">
      <c r="A127" s="49"/>
      <c r="B127" s="49" t="s">
        <v>119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 customHeight="1">
      <c r="A128" s="48" t="s">
        <v>128</v>
      </c>
      <c r="B128" s="48" t="s">
        <v>139</v>
      </c>
      <c r="C128" s="90">
        <v>623125794</v>
      </c>
      <c r="D128" s="214">
        <v>221.5262</v>
      </c>
      <c r="E128" s="214">
        <v>233.7023</v>
      </c>
      <c r="F128" s="75">
        <v>1800</v>
      </c>
      <c r="G128" s="215">
        <f>E128-D128</f>
        <v>12.17610000000002</v>
      </c>
      <c r="H128" s="73"/>
      <c r="I128" s="75">
        <f>G128*F128</f>
        <v>21916.980000000036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 customHeight="1">
      <c r="A129" s="49"/>
      <c r="B129" s="49" t="s">
        <v>119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 customHeight="1">
      <c r="A130" s="48" t="s">
        <v>129</v>
      </c>
      <c r="B130" s="48" t="s">
        <v>140</v>
      </c>
      <c r="C130" s="90">
        <v>623125736</v>
      </c>
      <c r="D130" s="214">
        <v>3260.5882</v>
      </c>
      <c r="E130" s="214">
        <v>3269.1461</v>
      </c>
      <c r="F130" s="75">
        <v>1200</v>
      </c>
      <c r="G130" s="215">
        <f t="shared" si="2"/>
        <v>8.55789999999979</v>
      </c>
      <c r="H130" s="73"/>
      <c r="I130" s="75">
        <f>G130*F130</f>
        <v>10269.479999999749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 customHeight="1">
      <c r="A131" s="49"/>
      <c r="B131" s="49" t="s">
        <v>119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5315791</v>
      </c>
      <c r="BA131" s="47"/>
      <c r="BB131" s="165">
        <f>SUM(BB93:BB96)+BB103+BB109+SUM(BB112:BB126)</f>
        <v>21134595.723009996</v>
      </c>
    </row>
    <row r="132" spans="1:54" ht="12.75" customHeight="1">
      <c r="A132" s="48" t="s">
        <v>130</v>
      </c>
      <c r="B132" s="50" t="s">
        <v>131</v>
      </c>
      <c r="C132" s="90">
        <v>1110171156</v>
      </c>
      <c r="D132" s="214">
        <v>1946.6188</v>
      </c>
      <c r="E132" s="214">
        <v>1996.2992</v>
      </c>
      <c r="F132" s="75">
        <v>40</v>
      </c>
      <c r="G132" s="215">
        <f t="shared" si="2"/>
        <v>49.68039999999996</v>
      </c>
      <c r="H132" s="73"/>
      <c r="I132" s="75">
        <f>G132*F132</f>
        <v>1987.2159999999985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 customHeight="1">
      <c r="A133" s="49"/>
      <c r="B133" s="46" t="s">
        <v>119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 customHeight="1">
      <c r="A134" s="94"/>
      <c r="B134" s="55"/>
      <c r="C134" s="86"/>
      <c r="D134" s="92"/>
      <c r="E134" s="93"/>
      <c r="F134" s="93"/>
      <c r="G134" s="108" t="s">
        <v>141</v>
      </c>
      <c r="H134" s="56"/>
      <c r="I134" s="125">
        <f>SUM(I112:I133)+I107</f>
        <v>738769.1559999962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336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 customHeight="1">
      <c r="A135" s="48" t="s">
        <v>144</v>
      </c>
      <c r="B135" s="50" t="s">
        <v>142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 customHeight="1">
      <c r="A136" s="74"/>
      <c r="B136" s="63" t="s">
        <v>143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48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 customHeight="1">
      <c r="A137" s="50" t="s">
        <v>145</v>
      </c>
      <c r="B137" s="48" t="s">
        <v>240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 customHeight="1">
      <c r="A138" s="63"/>
      <c r="B138" s="74"/>
      <c r="C138" s="194">
        <v>611127627</v>
      </c>
      <c r="D138" s="191">
        <v>2713.998</v>
      </c>
      <c r="E138" s="191">
        <v>2789.2368</v>
      </c>
      <c r="F138" s="60">
        <v>40</v>
      </c>
      <c r="G138" s="142">
        <f>E138-D138</f>
        <v>75.23880000000008</v>
      </c>
      <c r="H138" s="60"/>
      <c r="I138" s="60">
        <f>ROUND(F138*G138+H138,0)</f>
        <v>3010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 customHeight="1">
      <c r="A139" s="63"/>
      <c r="B139" s="49" t="s">
        <v>231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302</v>
      </c>
      <c r="AX139" s="47"/>
      <c r="AY139" s="47"/>
      <c r="AZ139" s="47"/>
      <c r="BA139" s="47"/>
      <c r="BB139" s="47"/>
    </row>
    <row r="140" spans="1:54" ht="12.75" customHeight="1">
      <c r="A140" s="48" t="s">
        <v>148</v>
      </c>
      <c r="B140" s="65"/>
      <c r="C140" s="106">
        <v>810120245</v>
      </c>
      <c r="D140" s="191">
        <v>1344.541</v>
      </c>
      <c r="E140" s="191">
        <v>1349.6652</v>
      </c>
      <c r="F140" s="60">
        <v>3600</v>
      </c>
      <c r="G140" s="142">
        <f aca="true" t="shared" si="3" ref="G140:G145">E140-D140</f>
        <v>5.124199999999973</v>
      </c>
      <c r="H140" s="60"/>
      <c r="I140" s="60">
        <f aca="true" t="shared" si="4" ref="I140:I145">ROUND(F140*G140+H140,0)</f>
        <v>18447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304</v>
      </c>
      <c r="AX140" s="47"/>
      <c r="AY140" s="47"/>
      <c r="AZ140" s="47"/>
      <c r="BA140" s="47"/>
      <c r="BB140" s="47"/>
    </row>
    <row r="141" spans="1:54" ht="12.75" customHeight="1">
      <c r="A141" s="74"/>
      <c r="B141" s="65" t="s">
        <v>246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 customHeight="1">
      <c r="A142" s="74"/>
      <c r="B142" s="65"/>
      <c r="C142" s="103">
        <v>4050284</v>
      </c>
      <c r="D142" s="121">
        <v>4471.3503</v>
      </c>
      <c r="E142" s="121">
        <v>4490.6366</v>
      </c>
      <c r="F142" s="60">
        <v>3600</v>
      </c>
      <c r="G142" s="143">
        <f t="shared" si="3"/>
        <v>19.286299999999756</v>
      </c>
      <c r="H142" s="44"/>
      <c r="I142" s="60">
        <f t="shared" si="4"/>
        <v>69431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 customHeight="1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321</v>
      </c>
      <c r="AX143" s="47"/>
      <c r="AY143" s="47"/>
      <c r="AZ143" s="47"/>
      <c r="BA143" s="47"/>
      <c r="BB143" s="47"/>
    </row>
    <row r="144" spans="1:54" ht="12.75" customHeight="1">
      <c r="A144" s="74" t="s">
        <v>149</v>
      </c>
      <c r="B144" s="48" t="s">
        <v>115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316</v>
      </c>
      <c r="AX144" s="47"/>
      <c r="AY144" s="47"/>
      <c r="AZ144" s="47"/>
      <c r="BA144" s="47"/>
      <c r="BB144" s="47"/>
    </row>
    <row r="145" spans="1:54" ht="12.75" customHeight="1">
      <c r="A145" s="196"/>
      <c r="B145" s="74" t="s">
        <v>114</v>
      </c>
      <c r="C145" s="194">
        <v>611127492</v>
      </c>
      <c r="D145" s="191">
        <v>6449.2852</v>
      </c>
      <c r="E145" s="191">
        <v>6493.4576</v>
      </c>
      <c r="F145" s="60">
        <v>20</v>
      </c>
      <c r="G145" s="142">
        <f t="shared" si="3"/>
        <v>44.17239999999947</v>
      </c>
      <c r="H145" s="60"/>
      <c r="I145" s="60">
        <f t="shared" si="4"/>
        <v>883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 customHeight="1">
      <c r="A146" s="50" t="s">
        <v>150</v>
      </c>
      <c r="B146" s="48" t="s">
        <v>241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320</v>
      </c>
      <c r="AX146" s="47"/>
      <c r="AY146" s="47"/>
      <c r="AZ146" s="47"/>
      <c r="BA146" s="47"/>
      <c r="BB146" s="47"/>
    </row>
    <row r="147" spans="1:54" ht="12.75" customHeight="1">
      <c r="A147" s="197"/>
      <c r="B147" s="70" t="s">
        <v>281</v>
      </c>
      <c r="C147" s="194">
        <v>611127702</v>
      </c>
      <c r="D147" s="191">
        <v>7335.578</v>
      </c>
      <c r="E147" s="191">
        <v>7404.124</v>
      </c>
      <c r="F147" s="60">
        <v>60</v>
      </c>
      <c r="G147" s="142">
        <f>E147-D147</f>
        <v>68.54599999999937</v>
      </c>
      <c r="H147" s="44"/>
      <c r="I147" s="60">
        <f>ROUND(F147*G147+H147,0)</f>
        <v>4113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322</v>
      </c>
      <c r="AX147" s="47"/>
      <c r="AY147" s="47"/>
      <c r="AZ147" s="47"/>
      <c r="BA147" s="47"/>
      <c r="BB147" s="47"/>
    </row>
    <row r="148" spans="1:54" ht="12.75" customHeight="1">
      <c r="A148" s="63"/>
      <c r="B148" s="70" t="s">
        <v>282</v>
      </c>
      <c r="C148" s="194">
        <v>611127555</v>
      </c>
      <c r="D148" s="191">
        <v>2902.0528</v>
      </c>
      <c r="E148" s="191">
        <v>3029.862</v>
      </c>
      <c r="F148" s="60">
        <v>60</v>
      </c>
      <c r="G148" s="142">
        <f>E148-D148</f>
        <v>127.80920000000015</v>
      </c>
      <c r="H148" s="44"/>
      <c r="I148" s="60">
        <f>ROUND(F148*G148+H148,0)</f>
        <v>7669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327</v>
      </c>
      <c r="AX148" s="47"/>
      <c r="AY148" s="47"/>
      <c r="AZ148" s="47"/>
      <c r="BA148" s="47"/>
      <c r="BB148" s="47"/>
    </row>
    <row r="149" spans="1:54" ht="12.75" customHeight="1">
      <c r="A149" s="50" t="s">
        <v>151</v>
      </c>
      <c r="B149" s="48" t="s">
        <v>242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325</v>
      </c>
      <c r="AX149" s="47"/>
      <c r="AY149" s="47"/>
      <c r="AZ149" s="47"/>
      <c r="BA149" s="47"/>
      <c r="BB149" s="47"/>
    </row>
    <row r="150" spans="1:54" ht="12.75" customHeight="1">
      <c r="A150" s="197"/>
      <c r="B150" s="74"/>
      <c r="C150" s="194">
        <v>1110171163</v>
      </c>
      <c r="D150" s="121">
        <v>701.7444</v>
      </c>
      <c r="E150" s="121">
        <v>704.6112</v>
      </c>
      <c r="F150" s="60">
        <v>60</v>
      </c>
      <c r="G150" s="142">
        <f>E150-D150</f>
        <v>2.866800000000012</v>
      </c>
      <c r="H150" s="44"/>
      <c r="I150" s="60">
        <f>ROUND(F150*G150+H150,0)</f>
        <v>172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326</v>
      </c>
      <c r="AX150" s="47"/>
      <c r="AY150" s="47"/>
      <c r="AZ150" s="47"/>
      <c r="BA150" s="47"/>
      <c r="BB150" s="47"/>
    </row>
    <row r="151" spans="1:54" ht="12.75" customHeight="1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332</v>
      </c>
      <c r="AX151" s="47"/>
      <c r="AY151" s="47"/>
      <c r="AZ151" s="47"/>
      <c r="BA151" s="47"/>
      <c r="BB151" s="47"/>
    </row>
    <row r="152" spans="1:54" ht="12.75" customHeight="1">
      <c r="A152" s="50" t="s">
        <v>152</v>
      </c>
      <c r="B152" s="48" t="s">
        <v>243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 customHeight="1">
      <c r="A153" s="63"/>
      <c r="B153" s="74"/>
      <c r="C153" s="194">
        <v>1110171170</v>
      </c>
      <c r="D153" s="191">
        <v>244.334</v>
      </c>
      <c r="E153" s="191">
        <v>250.9596</v>
      </c>
      <c r="F153" s="60">
        <v>40</v>
      </c>
      <c r="G153" s="142">
        <f>E153-D153</f>
        <v>6.6255999999999915</v>
      </c>
      <c r="H153" s="60"/>
      <c r="I153" s="60">
        <f>ROUND(F153*G153+H153,0)</f>
        <v>265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328</v>
      </c>
      <c r="AX153" s="47"/>
      <c r="AY153" s="47"/>
      <c r="AZ153" s="47"/>
      <c r="BA153" s="47"/>
      <c r="BB153" s="47"/>
    </row>
    <row r="154" spans="1:54" ht="12.75" customHeight="1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329</v>
      </c>
      <c r="AX154" s="47"/>
      <c r="AY154" s="47"/>
      <c r="AZ154" s="47"/>
      <c r="BA154" s="47"/>
      <c r="BB154" s="47"/>
    </row>
    <row r="155" spans="1:54" ht="12.75" customHeight="1">
      <c r="A155" s="48" t="s">
        <v>153</v>
      </c>
      <c r="B155" s="52" t="s">
        <v>276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330</v>
      </c>
      <c r="AX155" s="47"/>
      <c r="AY155" s="47"/>
      <c r="AZ155" s="47"/>
      <c r="BA155" s="47"/>
      <c r="BB155" s="47"/>
    </row>
    <row r="156" spans="1:54" ht="12.75" customHeight="1">
      <c r="A156" s="74"/>
      <c r="B156" s="65" t="s">
        <v>232</v>
      </c>
      <c r="C156" s="194">
        <v>611126404</v>
      </c>
      <c r="D156" s="191">
        <v>959.7897</v>
      </c>
      <c r="E156" s="191">
        <v>964.1507</v>
      </c>
      <c r="F156" s="60">
        <v>1800</v>
      </c>
      <c r="G156" s="142">
        <f>E156-D156</f>
        <v>4.36099999999999</v>
      </c>
      <c r="H156" s="60"/>
      <c r="I156" s="60">
        <f>ROUND(F156*G156+H156,0)</f>
        <v>7850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331</v>
      </c>
      <c r="AX156" s="47"/>
      <c r="AY156" s="47"/>
      <c r="AZ156" s="47"/>
      <c r="BA156" s="47"/>
      <c r="BB156" s="47"/>
    </row>
    <row r="157" spans="1:54" ht="12.75" customHeight="1">
      <c r="A157" s="49"/>
      <c r="B157" s="54" t="s">
        <v>247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 customHeight="1">
      <c r="A158" s="63" t="s">
        <v>233</v>
      </c>
      <c r="B158" s="48" t="s">
        <v>244</v>
      </c>
      <c r="C158" s="194">
        <v>611127724</v>
      </c>
      <c r="D158" s="191">
        <v>738.9724</v>
      </c>
      <c r="E158" s="191">
        <v>745.38</v>
      </c>
      <c r="F158" s="60">
        <v>30</v>
      </c>
      <c r="G158" s="142">
        <f>E158-D158</f>
        <v>6.407600000000002</v>
      </c>
      <c r="H158" s="60"/>
      <c r="I158" s="60">
        <f>ROUND(F158*G158+H158,0)</f>
        <v>192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 customHeight="1">
      <c r="A159" s="46"/>
      <c r="B159" s="74" t="s">
        <v>275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 customHeight="1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 customHeight="1">
      <c r="A161" s="46"/>
      <c r="B161" s="53"/>
      <c r="C161" s="55"/>
      <c r="D161" s="55"/>
      <c r="E161" s="55"/>
      <c r="F161" s="55" t="s">
        <v>154</v>
      </c>
      <c r="G161" s="55"/>
      <c r="H161" s="56"/>
      <c r="I161" s="125">
        <f>SUM(I137:I159)-I160</f>
        <v>112032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155</v>
      </c>
      <c r="H162" s="56"/>
      <c r="I162" s="125">
        <f>I103+I104+I107+I108+I109+I110-I134-I161</f>
        <v>2896219.8440000108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162</v>
      </c>
      <c r="B163" s="45" t="s">
        <v>156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160</v>
      </c>
      <c r="B164" s="48" t="s">
        <v>157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158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161</v>
      </c>
      <c r="B166" s="48" t="s">
        <v>159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158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163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164</v>
      </c>
      <c r="H169" s="56"/>
      <c r="I169" s="125">
        <f>I162+I168</f>
        <v>2896219.8440000108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165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290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168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169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268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291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257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251</v>
      </c>
      <c r="BA178" s="47" t="s">
        <v>27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248</v>
      </c>
      <c r="AZ179" s="190">
        <f>AZ183+AZ184+AZ185</f>
        <v>2742934</v>
      </c>
      <c r="BA179" s="218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249</v>
      </c>
      <c r="AZ180" s="190">
        <f>AZ187-AZ179-AZ181</f>
        <v>-2742934</v>
      </c>
      <c r="BA180" s="218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250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252</v>
      </c>
      <c r="AZ183" s="217">
        <v>2742934</v>
      </c>
      <c r="BA183" s="216"/>
    </row>
    <row r="184" spans="51:53" ht="12.75">
      <c r="AY184" s="47"/>
      <c r="AZ184" s="217"/>
      <c r="BA184" s="216"/>
    </row>
    <row r="185" spans="51:53" ht="12.75">
      <c r="AY185" s="47"/>
      <c r="AZ185" s="217"/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</sheetData>
  <sheetProtection/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200"/>
  <sheetViews>
    <sheetView tabSelected="1" zoomScalePageLayoutView="0" workbookViewId="0" topLeftCell="AS1">
      <selection activeCell="BA12" sqref="BA12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8" width="9.2539062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9.00390625" style="0" customWidth="1"/>
    <col min="16" max="16" width="10.375" style="0" customWidth="1"/>
    <col min="17" max="17" width="8.375" style="0" customWidth="1"/>
    <col min="18" max="18" width="12.00390625" style="0" customWidth="1"/>
    <col min="19" max="19" width="6.625" style="0" customWidth="1"/>
    <col min="22" max="22" width="26.375" style="0" customWidth="1"/>
    <col min="23" max="23" width="13.25390625" style="0" customWidth="1"/>
    <col min="24" max="24" width="14.75390625" style="0" customWidth="1"/>
    <col min="25" max="26" width="14.00390625" style="0" customWidth="1"/>
    <col min="27" max="27" width="13.125" style="0" customWidth="1"/>
    <col min="28" max="28" width="7.375" style="0" customWidth="1"/>
    <col min="31" max="31" width="26.125" style="0" customWidth="1"/>
    <col min="32" max="32" width="13.875" style="0" customWidth="1"/>
    <col min="33" max="33" width="13.25390625" style="0" customWidth="1"/>
    <col min="34" max="34" width="12.75390625" style="0" customWidth="1"/>
    <col min="35" max="35" width="15.125" style="0" customWidth="1"/>
    <col min="36" max="36" width="13.125" style="0" customWidth="1"/>
    <col min="37" max="37" width="6.875" style="0" customWidth="1"/>
    <col min="40" max="40" width="29.00390625" style="0" customWidth="1"/>
    <col min="41" max="41" width="12.75390625" style="0" customWidth="1"/>
    <col min="42" max="42" width="13.00390625" style="0" customWidth="1"/>
    <col min="43" max="43" width="12.625" style="0" customWidth="1"/>
    <col min="44" max="44" width="13.00390625" style="0" customWidth="1"/>
    <col min="45" max="45" width="14.25390625" style="0" customWidth="1"/>
    <col min="51" max="51" width="24.75390625" style="0" customWidth="1"/>
    <col min="52" max="52" width="16.125" style="0" customWidth="1"/>
    <col min="53" max="53" width="16.75390625" style="0" customWidth="1"/>
    <col min="54" max="54" width="16.375" style="0" customWidth="1"/>
  </cols>
  <sheetData>
    <row r="1" spans="1:54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 customHeight="1">
      <c r="A2" s="47"/>
      <c r="B2" s="47"/>
      <c r="C2" s="47"/>
      <c r="D2" s="47" t="s">
        <v>90</v>
      </c>
      <c r="E2" s="47"/>
      <c r="F2" s="47"/>
      <c r="G2" s="47"/>
      <c r="H2" s="47"/>
      <c r="I2" s="47"/>
      <c r="J2" s="47"/>
      <c r="K2" s="47"/>
      <c r="L2" s="47"/>
      <c r="M2" s="47" t="s">
        <v>174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187</v>
      </c>
      <c r="AC2" s="47"/>
      <c r="AD2" s="47"/>
      <c r="AE2" s="47"/>
      <c r="AF2" s="47"/>
      <c r="AG2" s="47"/>
      <c r="AH2" s="47"/>
      <c r="AI2" s="47"/>
      <c r="AJ2" s="47"/>
      <c r="AK2" s="47" t="s">
        <v>187</v>
      </c>
      <c r="AL2" s="47"/>
      <c r="AM2" s="47"/>
      <c r="AN2" s="47"/>
      <c r="AO2" s="47"/>
      <c r="AP2" s="47"/>
      <c r="AQ2" s="47"/>
      <c r="AR2" s="47"/>
      <c r="AS2" s="47"/>
      <c r="AT2" s="64" t="s">
        <v>267</v>
      </c>
      <c r="AU2" s="47"/>
      <c r="AV2" s="47"/>
      <c r="AW2" s="47"/>
      <c r="AX2" s="47"/>
      <c r="AY2" s="47"/>
      <c r="AZ2" s="47"/>
      <c r="BA2" s="47"/>
      <c r="BB2" s="47"/>
    </row>
    <row r="3" spans="1:54" ht="12.75" customHeight="1">
      <c r="A3" s="47"/>
      <c r="B3" s="47"/>
      <c r="C3" s="47"/>
      <c r="D3" s="47" t="s">
        <v>91</v>
      </c>
      <c r="E3" s="47"/>
      <c r="F3" s="47"/>
      <c r="G3" s="47"/>
      <c r="H3" s="47"/>
      <c r="I3" s="47"/>
      <c r="J3" s="47"/>
      <c r="K3" s="47"/>
      <c r="L3" s="47"/>
      <c r="M3" s="47" t="s">
        <v>175</v>
      </c>
      <c r="N3" s="47"/>
      <c r="O3" s="47"/>
      <c r="P3" s="47"/>
      <c r="Q3" s="47"/>
      <c r="R3" s="47"/>
      <c r="S3" s="47" t="s">
        <v>187</v>
      </c>
      <c r="T3" s="47"/>
      <c r="U3" s="47"/>
      <c r="V3" s="47"/>
      <c r="W3" s="47"/>
      <c r="X3" s="47"/>
      <c r="Y3" s="47"/>
      <c r="Z3" s="47"/>
      <c r="AA3" s="47"/>
      <c r="AB3" s="47" t="s">
        <v>186</v>
      </c>
      <c r="AC3" s="47"/>
      <c r="AD3" s="47"/>
      <c r="AE3" s="47"/>
      <c r="AF3" s="47"/>
      <c r="AG3" s="47"/>
      <c r="AH3" s="47"/>
      <c r="AI3" s="47"/>
      <c r="AJ3" s="47"/>
      <c r="AK3" s="47" t="s">
        <v>186</v>
      </c>
      <c r="AL3" s="47"/>
      <c r="AM3" s="47"/>
      <c r="AN3" s="47"/>
      <c r="AO3" s="47"/>
      <c r="AP3" s="47"/>
      <c r="AQ3" s="47"/>
      <c r="AR3" s="47"/>
      <c r="AS3" s="47"/>
      <c r="AT3" s="64" t="s">
        <v>269</v>
      </c>
      <c r="AU3" s="47"/>
      <c r="AV3" s="47"/>
      <c r="AW3" s="47"/>
      <c r="AX3" s="47"/>
      <c r="AY3" s="47"/>
      <c r="AZ3" s="47"/>
      <c r="BA3" s="47"/>
      <c r="BB3" s="47"/>
    </row>
    <row r="4" spans="1:54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186</v>
      </c>
      <c r="T4" s="47"/>
      <c r="U4" s="47"/>
      <c r="V4" s="47"/>
      <c r="W4" s="47"/>
      <c r="X4" s="47"/>
      <c r="Y4" s="47"/>
      <c r="Z4" s="47"/>
      <c r="AA4" s="47"/>
      <c r="AB4" s="47" t="s">
        <v>188</v>
      </c>
      <c r="AC4" s="47"/>
      <c r="AD4" s="47"/>
      <c r="AE4" s="47"/>
      <c r="AF4" s="47"/>
      <c r="AG4" s="47"/>
      <c r="AH4" s="47"/>
      <c r="AI4" s="47"/>
      <c r="AJ4" s="47"/>
      <c r="AK4" s="47" t="s">
        <v>188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212</v>
      </c>
      <c r="AV4" s="47"/>
      <c r="AW4" s="47"/>
      <c r="AX4" s="47"/>
      <c r="AY4" s="144" t="s">
        <v>13</v>
      </c>
      <c r="AZ4" s="144" t="s">
        <v>293</v>
      </c>
      <c r="BA4" s="47"/>
      <c r="BB4" s="47"/>
    </row>
    <row r="5" spans="1:54" ht="12.75" customHeight="1">
      <c r="A5" s="47"/>
      <c r="B5" s="47"/>
      <c r="C5" s="47" t="s">
        <v>92</v>
      </c>
      <c r="D5" s="47"/>
      <c r="E5" s="47"/>
      <c r="F5" s="47"/>
      <c r="G5" s="47"/>
      <c r="H5" s="47"/>
      <c r="I5" s="47"/>
      <c r="J5" s="47"/>
      <c r="K5" s="47"/>
      <c r="L5" s="47" t="s">
        <v>92</v>
      </c>
      <c r="M5" s="47"/>
      <c r="N5" s="47"/>
      <c r="O5" s="47"/>
      <c r="P5" s="47"/>
      <c r="Q5" s="47"/>
      <c r="R5" s="47"/>
      <c r="S5" s="47" t="s">
        <v>188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214</v>
      </c>
      <c r="AV5" s="51"/>
      <c r="AW5" s="51"/>
      <c r="AX5" s="51"/>
      <c r="AY5" s="51"/>
      <c r="AZ5" s="50" t="s">
        <v>215</v>
      </c>
      <c r="BA5" s="50" t="s">
        <v>216</v>
      </c>
      <c r="BB5" s="48" t="s">
        <v>201</v>
      </c>
    </row>
    <row r="6" spans="1:54" ht="12.75" customHeight="1">
      <c r="A6" s="47"/>
      <c r="B6" s="47"/>
      <c r="C6" s="47"/>
      <c r="D6" s="167" t="s">
        <v>337</v>
      </c>
      <c r="E6" s="167"/>
      <c r="F6" s="47"/>
      <c r="G6" s="47"/>
      <c r="H6" s="47"/>
      <c r="I6" s="47"/>
      <c r="J6" s="47"/>
      <c r="K6" s="47"/>
      <c r="L6" s="47"/>
      <c r="M6" s="167" t="s">
        <v>337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217</v>
      </c>
      <c r="BA6" s="63" t="s">
        <v>76</v>
      </c>
      <c r="BB6" s="74" t="s">
        <v>14</v>
      </c>
    </row>
    <row r="7" spans="1:54" ht="12.75" customHeight="1">
      <c r="A7" s="47" t="s">
        <v>265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77</v>
      </c>
      <c r="BA7" s="46"/>
      <c r="BB7" s="49" t="s">
        <v>15</v>
      </c>
    </row>
    <row r="8" spans="1:54" ht="12.75" customHeight="1">
      <c r="A8" s="47" t="s">
        <v>93</v>
      </c>
      <c r="B8" s="47"/>
      <c r="C8" s="47"/>
      <c r="D8" s="47"/>
      <c r="E8" s="47"/>
      <c r="F8" s="47"/>
      <c r="G8" s="47"/>
      <c r="H8" s="47"/>
      <c r="I8" s="47"/>
      <c r="J8" s="47" t="s">
        <v>265</v>
      </c>
      <c r="K8" s="47"/>
      <c r="L8" s="47"/>
      <c r="M8" s="47"/>
      <c r="N8" s="47"/>
      <c r="O8" s="47"/>
      <c r="P8" s="47"/>
      <c r="Q8" s="47"/>
      <c r="R8" s="47"/>
      <c r="S8" s="47" t="s">
        <v>199</v>
      </c>
      <c r="T8" s="47"/>
      <c r="U8" s="47"/>
      <c r="V8" s="47"/>
      <c r="W8" s="47"/>
      <c r="X8" s="47"/>
      <c r="Y8" s="47"/>
      <c r="Z8" s="47"/>
      <c r="AA8" s="47"/>
      <c r="AB8" s="47" t="s">
        <v>199</v>
      </c>
      <c r="AC8" s="47"/>
      <c r="AD8" s="47"/>
      <c r="AE8" s="47"/>
      <c r="AF8" s="47"/>
      <c r="AG8" s="47"/>
      <c r="AH8" s="47"/>
      <c r="AI8" s="47"/>
      <c r="AJ8" s="47"/>
      <c r="AK8" s="47" t="s">
        <v>199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7460722.200000007</v>
      </c>
      <c r="BA8" s="168"/>
      <c r="BB8" s="169">
        <f>BB9+BB14</f>
        <v>15433587.76189</v>
      </c>
    </row>
    <row r="9" spans="1:54" ht="12.75" customHeight="1">
      <c r="A9" s="47" t="s">
        <v>95</v>
      </c>
      <c r="B9" s="47"/>
      <c r="C9" s="47"/>
      <c r="D9" s="47"/>
      <c r="E9" s="47"/>
      <c r="F9" s="47" t="s">
        <v>94</v>
      </c>
      <c r="G9" s="47"/>
      <c r="H9" s="47"/>
      <c r="I9" s="47"/>
      <c r="J9" s="47" t="s">
        <v>93</v>
      </c>
      <c r="K9" s="47"/>
      <c r="L9" s="47"/>
      <c r="M9" s="47"/>
      <c r="N9" s="47"/>
      <c r="O9" s="47" t="s">
        <v>94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203</v>
      </c>
      <c r="AU9" s="146"/>
      <c r="AV9" s="146"/>
      <c r="AW9" s="146"/>
      <c r="AX9" s="51"/>
      <c r="AY9" s="52"/>
      <c r="AZ9" s="170">
        <f>AZ11+AZ12</f>
        <v>4427488</v>
      </c>
      <c r="BA9" s="171">
        <f>(BB12+BB11)/AZ9</f>
        <v>3.485606400715259</v>
      </c>
      <c r="BB9" s="169">
        <f>BB10+BB11+BB12+BB13</f>
        <v>15432480.51189</v>
      </c>
    </row>
    <row r="10" spans="1:54" ht="12.75" customHeight="1">
      <c r="A10" s="48" t="s">
        <v>190</v>
      </c>
      <c r="B10" s="73" t="s">
        <v>96</v>
      </c>
      <c r="C10" s="48" t="s">
        <v>97</v>
      </c>
      <c r="D10" s="116" t="s">
        <v>172</v>
      </c>
      <c r="E10" s="117"/>
      <c r="F10" s="48" t="s">
        <v>98</v>
      </c>
      <c r="G10" s="48" t="s">
        <v>213</v>
      </c>
      <c r="H10" s="48" t="s">
        <v>99</v>
      </c>
      <c r="I10" s="48" t="s">
        <v>89</v>
      </c>
      <c r="J10" s="47" t="s">
        <v>95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338</v>
      </c>
      <c r="Z10" s="47"/>
      <c r="AA10" s="47"/>
      <c r="AB10" s="47"/>
      <c r="AC10" s="47"/>
      <c r="AD10" s="47"/>
      <c r="AE10" s="47"/>
      <c r="AF10" s="47"/>
      <c r="AG10" s="47"/>
      <c r="AH10" s="167" t="s">
        <v>338</v>
      </c>
      <c r="AI10" s="47"/>
      <c r="AJ10" s="47"/>
      <c r="AK10" s="47"/>
      <c r="AL10" s="47"/>
      <c r="AM10" s="47"/>
      <c r="AN10" s="47"/>
      <c r="AO10" s="47"/>
      <c r="AP10" s="47"/>
      <c r="AQ10" s="167" t="s">
        <v>338</v>
      </c>
      <c r="AR10" s="47"/>
      <c r="AS10" s="47"/>
      <c r="AT10" s="50" t="s">
        <v>78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 customHeight="1">
      <c r="A11" s="74"/>
      <c r="B11" s="74"/>
      <c r="C11" s="74"/>
      <c r="D11" s="48" t="s">
        <v>100</v>
      </c>
      <c r="E11" s="50" t="s">
        <v>101</v>
      </c>
      <c r="F11" s="74" t="s">
        <v>102</v>
      </c>
      <c r="G11" s="74" t="s">
        <v>88</v>
      </c>
      <c r="H11" s="74"/>
      <c r="I11" s="74" t="s">
        <v>103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79</v>
      </c>
      <c r="AU11" s="51"/>
      <c r="AV11" s="51"/>
      <c r="AW11" s="51"/>
      <c r="AX11" s="51"/>
      <c r="AY11" s="52"/>
      <c r="AZ11" s="60">
        <f>I81+I73</f>
        <v>4147</v>
      </c>
      <c r="BA11" s="175">
        <v>5.26305</v>
      </c>
      <c r="BB11" s="174">
        <f>AZ11*BA11</f>
        <v>21825.86835</v>
      </c>
    </row>
    <row r="12" spans="1:54" ht="12.75" customHeight="1">
      <c r="A12" s="49"/>
      <c r="B12" s="49"/>
      <c r="C12" s="49"/>
      <c r="D12" s="49" t="s">
        <v>104</v>
      </c>
      <c r="E12" s="46" t="s">
        <v>104</v>
      </c>
      <c r="F12" s="49" t="s">
        <v>105</v>
      </c>
      <c r="G12" s="49"/>
      <c r="H12" s="49"/>
      <c r="I12" s="49"/>
      <c r="J12" s="48" t="s">
        <v>190</v>
      </c>
      <c r="K12" s="73" t="s">
        <v>96</v>
      </c>
      <c r="L12" s="48" t="s">
        <v>97</v>
      </c>
      <c r="M12" s="116" t="s">
        <v>229</v>
      </c>
      <c r="N12" s="117"/>
      <c r="O12" s="48" t="s">
        <v>98</v>
      </c>
      <c r="P12" s="48" t="s">
        <v>213</v>
      </c>
      <c r="Q12" s="48" t="s">
        <v>99</v>
      </c>
      <c r="R12" s="48" t="s">
        <v>89</v>
      </c>
      <c r="S12" s="48" t="s">
        <v>190</v>
      </c>
      <c r="T12" s="50" t="s">
        <v>191</v>
      </c>
      <c r="U12" s="51"/>
      <c r="V12" s="52"/>
      <c r="W12" s="45" t="s">
        <v>192</v>
      </c>
      <c r="X12" s="55"/>
      <c r="Y12" s="55"/>
      <c r="Z12" s="55"/>
      <c r="AA12" s="56"/>
      <c r="AB12" s="48" t="s">
        <v>190</v>
      </c>
      <c r="AC12" s="50" t="s">
        <v>191</v>
      </c>
      <c r="AD12" s="51"/>
      <c r="AE12" s="52"/>
      <c r="AF12" s="45" t="s">
        <v>192</v>
      </c>
      <c r="AG12" s="55"/>
      <c r="AH12" s="55"/>
      <c r="AI12" s="55"/>
      <c r="AJ12" s="56"/>
      <c r="AK12" s="48" t="s">
        <v>190</v>
      </c>
      <c r="AL12" s="50" t="s">
        <v>191</v>
      </c>
      <c r="AM12" s="51"/>
      <c r="AN12" s="52"/>
      <c r="AO12" s="45" t="s">
        <v>192</v>
      </c>
      <c r="AP12" s="55"/>
      <c r="AQ12" s="55"/>
      <c r="AR12" s="55"/>
      <c r="AS12" s="56"/>
      <c r="AT12" s="50" t="s">
        <v>80</v>
      </c>
      <c r="AU12" s="51"/>
      <c r="AV12" s="51"/>
      <c r="AW12" s="51"/>
      <c r="AX12" s="51"/>
      <c r="AY12" s="52"/>
      <c r="AZ12" s="170">
        <f>I75</f>
        <v>4423341</v>
      </c>
      <c r="BA12" s="176">
        <v>3.48394</v>
      </c>
      <c r="BB12" s="174">
        <f>AZ12*BA12</f>
        <v>15410654.64354</v>
      </c>
    </row>
    <row r="13" spans="1:54" ht="12.75" customHeigh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100</v>
      </c>
      <c r="N13" s="50" t="s">
        <v>101</v>
      </c>
      <c r="O13" s="74" t="s">
        <v>102</v>
      </c>
      <c r="P13" s="74" t="s">
        <v>88</v>
      </c>
      <c r="Q13" s="74"/>
      <c r="R13" s="74" t="s">
        <v>103</v>
      </c>
      <c r="S13" s="49"/>
      <c r="T13" s="46"/>
      <c r="U13" s="53"/>
      <c r="V13" s="54"/>
      <c r="W13" s="57" t="s">
        <v>193</v>
      </c>
      <c r="X13" s="57" t="s">
        <v>194</v>
      </c>
      <c r="Y13" s="57" t="s">
        <v>195</v>
      </c>
      <c r="Z13" s="57" t="s">
        <v>196</v>
      </c>
      <c r="AA13" s="57" t="s">
        <v>197</v>
      </c>
      <c r="AB13" s="49"/>
      <c r="AC13" s="46"/>
      <c r="AD13" s="53"/>
      <c r="AE13" s="54"/>
      <c r="AF13" s="57" t="s">
        <v>193</v>
      </c>
      <c r="AG13" s="57" t="s">
        <v>194</v>
      </c>
      <c r="AH13" s="57" t="s">
        <v>195</v>
      </c>
      <c r="AI13" s="57" t="s">
        <v>196</v>
      </c>
      <c r="AJ13" s="57" t="s">
        <v>197</v>
      </c>
      <c r="AK13" s="49"/>
      <c r="AL13" s="46"/>
      <c r="AM13" s="53"/>
      <c r="AN13" s="54"/>
      <c r="AO13" s="57" t="s">
        <v>193</v>
      </c>
      <c r="AP13" s="57" t="s">
        <v>194</v>
      </c>
      <c r="AQ13" s="57" t="s">
        <v>195</v>
      </c>
      <c r="AR13" s="57" t="s">
        <v>196</v>
      </c>
      <c r="AS13" s="57" t="s">
        <v>197</v>
      </c>
      <c r="AT13" s="45" t="s">
        <v>73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 customHeight="1">
      <c r="A14" s="46"/>
      <c r="B14" s="53"/>
      <c r="C14" s="209" t="s">
        <v>106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104</v>
      </c>
      <c r="N14" s="46" t="s">
        <v>104</v>
      </c>
      <c r="O14" s="49" t="s">
        <v>105</v>
      </c>
      <c r="P14" s="49"/>
      <c r="Q14" s="49"/>
      <c r="R14" s="49"/>
      <c r="S14" s="57">
        <v>1</v>
      </c>
      <c r="T14" s="44" t="s">
        <v>64</v>
      </c>
      <c r="U14" s="44"/>
      <c r="V14" s="44"/>
      <c r="W14" s="60">
        <f aca="true" t="shared" si="0" ref="W14:W25">SUM(X14:AA14)</f>
        <v>2807190</v>
      </c>
      <c r="X14" s="60">
        <f>SUM(X15:X26)</f>
        <v>2439970</v>
      </c>
      <c r="Y14" s="60">
        <f>SUM(Y15:Y27)</f>
        <v>0</v>
      </c>
      <c r="Z14" s="60">
        <f>SUM(Z15:Z26)</f>
        <v>367220</v>
      </c>
      <c r="AA14" s="57">
        <f>SUM(AA15:AA27)</f>
        <v>0</v>
      </c>
      <c r="AB14" s="57"/>
      <c r="AC14" s="44" t="s">
        <v>43</v>
      </c>
      <c r="AD14" s="44"/>
      <c r="AE14" s="44"/>
      <c r="AF14" s="67">
        <f>SUM(AG14:AJ14)</f>
        <v>156394</v>
      </c>
      <c r="AG14" s="60">
        <f>SUM(AG16:AG22)</f>
        <v>151156</v>
      </c>
      <c r="AH14" s="60">
        <f>SUM(AH16:AH22)</f>
        <v>0</v>
      </c>
      <c r="AI14" s="60">
        <f>SUM(AI16:AI22)</f>
        <v>5238</v>
      </c>
      <c r="AJ14" s="57">
        <f>SUM(AJ16:AJ22)</f>
        <v>0</v>
      </c>
      <c r="AK14" s="73">
        <v>1</v>
      </c>
      <c r="AL14" s="48" t="s">
        <v>43</v>
      </c>
      <c r="AM14" s="48"/>
      <c r="AN14" s="48"/>
      <c r="AO14" s="75">
        <f>SUM(AP14:AS14)</f>
        <v>69386</v>
      </c>
      <c r="AP14" s="75">
        <f>SUM(AP16:AP17)</f>
        <v>0</v>
      </c>
      <c r="AQ14" s="75">
        <f>SUM(AQ16:AQ17)</f>
        <v>0</v>
      </c>
      <c r="AR14" s="75">
        <f>ROUND(SUM(AR16:AR20),0)</f>
        <v>69386</v>
      </c>
      <c r="AS14" s="73">
        <f>SUM(AS16:AS17)</f>
        <v>0</v>
      </c>
      <c r="AT14" s="49" t="s">
        <v>219</v>
      </c>
      <c r="AU14" s="49"/>
      <c r="AV14" s="49"/>
      <c r="AW14" s="49"/>
      <c r="AX14" s="49"/>
      <c r="AY14" s="49"/>
      <c r="AZ14" s="170">
        <f>SUM(AZ15:AZ21)</f>
        <v>351</v>
      </c>
      <c r="BA14" s="177"/>
      <c r="BB14" s="174">
        <f>SUM(BB15:BB21)</f>
        <v>1107.25</v>
      </c>
    </row>
    <row r="15" spans="1:54" ht="12.75" customHeight="1">
      <c r="A15" s="46"/>
      <c r="B15" s="45" t="s">
        <v>258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50</v>
      </c>
      <c r="T15" s="50" t="s">
        <v>28</v>
      </c>
      <c r="U15" s="51"/>
      <c r="V15" s="51"/>
      <c r="W15" s="67">
        <f t="shared" si="0"/>
        <v>1409238</v>
      </c>
      <c r="X15" s="88">
        <f>ROUND(I20,0)</f>
        <v>1409238</v>
      </c>
      <c r="Y15" s="73">
        <v>0</v>
      </c>
      <c r="Z15" s="73">
        <v>0</v>
      </c>
      <c r="AA15" s="73">
        <v>0</v>
      </c>
      <c r="AB15" s="73">
        <v>1</v>
      </c>
      <c r="AC15" s="50" t="s">
        <v>278</v>
      </c>
      <c r="AD15" s="51"/>
      <c r="AE15" s="52"/>
      <c r="AF15" s="66"/>
      <c r="AG15" s="69"/>
      <c r="AH15" s="69"/>
      <c r="AI15" s="69"/>
      <c r="AJ15" s="192"/>
      <c r="AK15" s="208"/>
      <c r="AL15" s="50" t="s">
        <v>280</v>
      </c>
      <c r="AM15" s="51"/>
      <c r="AN15" s="52"/>
      <c r="AO15" s="75"/>
      <c r="AP15" s="73"/>
      <c r="AQ15" s="73"/>
      <c r="AR15" s="75"/>
      <c r="AS15" s="73"/>
      <c r="AT15" s="52" t="s">
        <v>74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 customHeight="1">
      <c r="A16" s="73">
        <v>1</v>
      </c>
      <c r="B16" s="48" t="s">
        <v>146</v>
      </c>
      <c r="C16" s="90">
        <v>804152757</v>
      </c>
      <c r="D16" s="121">
        <v>5631.0677</v>
      </c>
      <c r="E16" s="121">
        <v>5714.6021</v>
      </c>
      <c r="F16" s="60">
        <v>36000</v>
      </c>
      <c r="G16" s="142">
        <f>E16-D16</f>
        <v>83.53440000000046</v>
      </c>
      <c r="H16" s="44"/>
      <c r="I16" s="60">
        <f>ROUND((F16*G16+H16),0)</f>
        <v>3007238</v>
      </c>
      <c r="J16" s="46"/>
      <c r="K16" s="53"/>
      <c r="L16" s="53" t="s">
        <v>106</v>
      </c>
      <c r="M16" s="53"/>
      <c r="N16" s="53"/>
      <c r="O16" s="53"/>
      <c r="P16" s="53"/>
      <c r="Q16" s="53"/>
      <c r="R16" s="54"/>
      <c r="S16" s="61" t="s">
        <v>51</v>
      </c>
      <c r="T16" s="63" t="s">
        <v>29</v>
      </c>
      <c r="U16" s="64"/>
      <c r="V16" s="64"/>
      <c r="W16" s="67">
        <f t="shared" si="0"/>
        <v>109281</v>
      </c>
      <c r="X16" s="81">
        <f>ROUND(I27,0)</f>
        <v>109281</v>
      </c>
      <c r="Y16" s="70">
        <v>0</v>
      </c>
      <c r="Z16" s="67">
        <v>0</v>
      </c>
      <c r="AA16" s="70">
        <v>0</v>
      </c>
      <c r="AB16" s="61" t="s">
        <v>50</v>
      </c>
      <c r="AC16" s="63" t="s">
        <v>198</v>
      </c>
      <c r="AD16" s="64"/>
      <c r="AE16" s="65"/>
      <c r="AF16" s="67">
        <f>AG16+AH16+AI16+AJ16</f>
        <v>151156</v>
      </c>
      <c r="AG16" s="67">
        <v>151156</v>
      </c>
      <c r="AH16" s="70">
        <v>0</v>
      </c>
      <c r="AI16" s="67">
        <v>0</v>
      </c>
      <c r="AJ16" s="87">
        <v>0</v>
      </c>
      <c r="AK16" s="61" t="s">
        <v>50</v>
      </c>
      <c r="AL16" s="63" t="s">
        <v>16</v>
      </c>
      <c r="AM16" s="64"/>
      <c r="AN16" s="65"/>
      <c r="AO16" s="67">
        <f>AP16+AQ16+AR16+AS16</f>
        <v>147</v>
      </c>
      <c r="AP16" s="70">
        <v>0</v>
      </c>
      <c r="AQ16" s="70">
        <v>0</v>
      </c>
      <c r="AR16" s="67">
        <v>147</v>
      </c>
      <c r="AS16" s="70">
        <v>0</v>
      </c>
      <c r="AT16" s="52" t="s">
        <v>74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 customHeight="1">
      <c r="A17" s="49"/>
      <c r="B17" s="46" t="s">
        <v>147</v>
      </c>
      <c r="C17" s="106">
        <v>109054169</v>
      </c>
      <c r="D17" s="121">
        <v>8577.7616</v>
      </c>
      <c r="E17" s="121">
        <v>8660.4303</v>
      </c>
      <c r="F17" s="60">
        <v>36000</v>
      </c>
      <c r="G17" s="142">
        <f>E17-D17</f>
        <v>82.66870000000017</v>
      </c>
      <c r="H17" s="44"/>
      <c r="I17" s="60">
        <f>F17*G17+H17</f>
        <v>2976073.2000000062</v>
      </c>
      <c r="J17" s="44"/>
      <c r="K17" s="45" t="s">
        <v>107</v>
      </c>
      <c r="L17" s="55"/>
      <c r="M17" s="55"/>
      <c r="N17" s="55"/>
      <c r="O17" s="55"/>
      <c r="P17" s="55"/>
      <c r="Q17" s="55"/>
      <c r="R17" s="56"/>
      <c r="S17" s="61" t="s">
        <v>52</v>
      </c>
      <c r="T17" s="63" t="s">
        <v>30</v>
      </c>
      <c r="U17" s="64"/>
      <c r="V17" s="64"/>
      <c r="W17" s="67">
        <f t="shared" si="0"/>
        <v>122904</v>
      </c>
      <c r="X17" s="81">
        <f>ROUND(I29,0)</f>
        <v>122904</v>
      </c>
      <c r="Y17" s="70">
        <v>0</v>
      </c>
      <c r="Z17" s="67">
        <v>0</v>
      </c>
      <c r="AA17" s="70">
        <v>0</v>
      </c>
      <c r="AB17" s="61" t="s">
        <v>51</v>
      </c>
      <c r="AC17" s="63" t="s">
        <v>72</v>
      </c>
      <c r="AD17" s="64"/>
      <c r="AE17" s="65"/>
      <c r="AF17" s="67">
        <f>AG17+AH17+AI17+AJ17</f>
        <v>2624</v>
      </c>
      <c r="AG17" s="70">
        <v>0</v>
      </c>
      <c r="AH17" s="70">
        <v>0</v>
      </c>
      <c r="AI17" s="67">
        <v>2624</v>
      </c>
      <c r="AJ17" s="87">
        <v>0</v>
      </c>
      <c r="AK17" s="61" t="s">
        <v>51</v>
      </c>
      <c r="AL17" s="63" t="s">
        <v>166</v>
      </c>
      <c r="AM17" s="64"/>
      <c r="AN17" s="65"/>
      <c r="AO17" s="67">
        <f>AP17+AQ17+AR17+AS17</f>
        <v>258</v>
      </c>
      <c r="AP17" s="70">
        <v>0</v>
      </c>
      <c r="AQ17" s="70">
        <v>0</v>
      </c>
      <c r="AR17" s="67">
        <v>258</v>
      </c>
      <c r="AS17" s="70">
        <v>0</v>
      </c>
      <c r="AT17" s="51" t="s">
        <v>46</v>
      </c>
      <c r="AU17" s="51"/>
      <c r="AV17" s="51"/>
      <c r="AW17" s="51"/>
      <c r="AX17" s="51"/>
      <c r="AY17" s="52"/>
      <c r="AZ17" s="170">
        <f>R21</f>
        <v>200</v>
      </c>
      <c r="BA17" s="180">
        <v>3.59</v>
      </c>
      <c r="BB17" s="174">
        <f>AZ17*BA17</f>
        <v>718</v>
      </c>
    </row>
    <row r="18" spans="1:54" ht="12.75" customHeight="1">
      <c r="A18" s="45"/>
      <c r="B18" s="55"/>
      <c r="C18" s="53"/>
      <c r="D18" s="55"/>
      <c r="E18" s="55"/>
      <c r="F18" s="107" t="s">
        <v>109</v>
      </c>
      <c r="G18" s="55"/>
      <c r="H18" s="56"/>
      <c r="I18" s="60">
        <f>ROUND((I16+I17+I22),0)</f>
        <v>6047337</v>
      </c>
      <c r="J18" s="57">
        <v>1</v>
      </c>
      <c r="K18" s="45" t="s">
        <v>108</v>
      </c>
      <c r="L18" s="55"/>
      <c r="M18" s="55"/>
      <c r="N18" s="55"/>
      <c r="O18" s="55"/>
      <c r="P18" s="55"/>
      <c r="Q18" s="55"/>
      <c r="R18" s="56"/>
      <c r="S18" s="61" t="s">
        <v>53</v>
      </c>
      <c r="T18" s="63" t="s">
        <v>31</v>
      </c>
      <c r="U18" s="64"/>
      <c r="V18" s="64"/>
      <c r="W18" s="67">
        <f t="shared" si="0"/>
        <v>224106</v>
      </c>
      <c r="X18" s="81">
        <f>ROUND(I31,0)</f>
        <v>224106</v>
      </c>
      <c r="Y18" s="70">
        <v>0</v>
      </c>
      <c r="Z18" s="67">
        <v>0</v>
      </c>
      <c r="AA18" s="70">
        <v>0</v>
      </c>
      <c r="AB18" s="62" t="s">
        <v>52</v>
      </c>
      <c r="AC18" s="53" t="s">
        <v>61</v>
      </c>
      <c r="AD18" s="53"/>
      <c r="AE18" s="53"/>
      <c r="AF18" s="68">
        <f>AG18+AH18+AI18+AJ18</f>
        <v>2614</v>
      </c>
      <c r="AG18" s="71">
        <v>0</v>
      </c>
      <c r="AH18" s="71">
        <v>0</v>
      </c>
      <c r="AI18" s="68">
        <v>2614</v>
      </c>
      <c r="AJ18" s="207">
        <v>0</v>
      </c>
      <c r="AK18" s="61" t="s">
        <v>52</v>
      </c>
      <c r="AL18" s="63" t="s">
        <v>42</v>
      </c>
      <c r="AM18" s="64"/>
      <c r="AN18" s="65"/>
      <c r="AO18" s="67">
        <f>AP18+AQ18+AR18+AS18</f>
        <v>47379</v>
      </c>
      <c r="AP18" s="70">
        <v>0</v>
      </c>
      <c r="AQ18" s="70">
        <v>0</v>
      </c>
      <c r="AR18" s="67">
        <v>47379</v>
      </c>
      <c r="AS18" s="70">
        <v>0</v>
      </c>
      <c r="AT18" s="51" t="s">
        <v>47</v>
      </c>
      <c r="AU18" s="51"/>
      <c r="AV18" s="51"/>
      <c r="AW18" s="51"/>
      <c r="AX18" s="51"/>
      <c r="AY18" s="52"/>
      <c r="AZ18" s="170">
        <f>R22</f>
        <v>60</v>
      </c>
      <c r="BA18" s="180">
        <v>1.71</v>
      </c>
      <c r="BB18" s="174">
        <f>AZ18*BA18</f>
        <v>102.6</v>
      </c>
    </row>
    <row r="19" spans="1:54" ht="12.75" customHeight="1">
      <c r="A19" s="44" t="s">
        <v>110</v>
      </c>
      <c r="B19" s="45" t="s">
        <v>230</v>
      </c>
      <c r="C19" s="55"/>
      <c r="D19" s="55"/>
      <c r="E19" s="55"/>
      <c r="F19" s="55"/>
      <c r="G19" s="55"/>
      <c r="H19" s="55"/>
      <c r="I19" s="56"/>
      <c r="J19" s="73" t="s">
        <v>110</v>
      </c>
      <c r="K19" s="48" t="s">
        <v>176</v>
      </c>
      <c r="L19" s="73">
        <v>16654</v>
      </c>
      <c r="M19" s="124">
        <v>7308</v>
      </c>
      <c r="N19" s="124">
        <v>7399</v>
      </c>
      <c r="O19" s="73">
        <v>1</v>
      </c>
      <c r="P19" s="148">
        <f>N19-M19</f>
        <v>91</v>
      </c>
      <c r="Q19" s="149"/>
      <c r="R19" s="75">
        <f>O19*P19+Q19</f>
        <v>91</v>
      </c>
      <c r="S19" s="61" t="s">
        <v>58</v>
      </c>
      <c r="T19" s="63" t="s">
        <v>32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53</v>
      </c>
      <c r="AL19" s="63" t="s">
        <v>63</v>
      </c>
      <c r="AM19" s="64"/>
      <c r="AN19" s="65"/>
      <c r="AO19" s="67">
        <f>AP19+AQ19+AR19+AS19</f>
        <v>363</v>
      </c>
      <c r="AP19" s="67">
        <v>0</v>
      </c>
      <c r="AQ19" s="70">
        <v>0</v>
      </c>
      <c r="AR19" s="67">
        <v>363</v>
      </c>
      <c r="AS19" s="70">
        <v>0</v>
      </c>
      <c r="AT19" s="51" t="s">
        <v>81</v>
      </c>
      <c r="AU19" s="51"/>
      <c r="AV19" s="51"/>
      <c r="AW19" s="51"/>
      <c r="AX19" s="51"/>
      <c r="AY19" s="52"/>
      <c r="AZ19" s="181">
        <f>R19+R20</f>
        <v>91</v>
      </c>
      <c r="BA19" s="180">
        <v>3.15</v>
      </c>
      <c r="BB19" s="174">
        <f>AZ19*BA19</f>
        <v>286.65</v>
      </c>
    </row>
    <row r="20" spans="1:54" ht="12.75" customHeight="1">
      <c r="A20" s="44" t="s">
        <v>112</v>
      </c>
      <c r="B20" s="44" t="s">
        <v>113</v>
      </c>
      <c r="C20" s="106">
        <v>109053225</v>
      </c>
      <c r="D20" s="121">
        <v>20249.1888</v>
      </c>
      <c r="E20" s="121">
        <v>20316.2954</v>
      </c>
      <c r="F20" s="60">
        <v>21000</v>
      </c>
      <c r="G20" s="142">
        <f>E20-D20</f>
        <v>67.10659999999916</v>
      </c>
      <c r="H20" s="44"/>
      <c r="I20" s="233">
        <f>ROUND((F20*G20+H20),0)-1</f>
        <v>1409238</v>
      </c>
      <c r="J20" s="49"/>
      <c r="K20" s="49" t="s">
        <v>177</v>
      </c>
      <c r="L20" s="49"/>
      <c r="M20" s="49"/>
      <c r="N20" s="49"/>
      <c r="O20" s="49"/>
      <c r="P20" s="80"/>
      <c r="Q20" s="150"/>
      <c r="R20" s="166"/>
      <c r="S20" s="61" t="s">
        <v>62</v>
      </c>
      <c r="T20" s="63" t="s">
        <v>33</v>
      </c>
      <c r="U20" s="64"/>
      <c r="V20" s="64"/>
      <c r="W20" s="67">
        <f t="shared" si="0"/>
        <v>236042</v>
      </c>
      <c r="X20" s="81">
        <f>ROUND(I35,0)</f>
        <v>236042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58</v>
      </c>
      <c r="AL20" s="46" t="s">
        <v>279</v>
      </c>
      <c r="AM20" s="53"/>
      <c r="AN20" s="54"/>
      <c r="AO20" s="68">
        <f>AP20+AQ20+AR20+AS20</f>
        <v>21239</v>
      </c>
      <c r="AP20" s="68"/>
      <c r="AQ20" s="71"/>
      <c r="AR20" s="68">
        <v>21239</v>
      </c>
      <c r="AS20" s="71"/>
      <c r="AT20" s="51" t="s">
        <v>218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 customHeight="1">
      <c r="A21" s="44" t="s">
        <v>259</v>
      </c>
      <c r="B21" s="55" t="s">
        <v>262</v>
      </c>
      <c r="C21" s="53"/>
      <c r="D21" s="55"/>
      <c r="E21" s="55"/>
      <c r="F21" s="107"/>
      <c r="G21" s="55"/>
      <c r="H21" s="56"/>
      <c r="I21" s="60"/>
      <c r="J21" s="48" t="s">
        <v>116</v>
      </c>
      <c r="K21" s="48" t="s">
        <v>179</v>
      </c>
      <c r="L21" s="225">
        <v>122848480</v>
      </c>
      <c r="M21" s="224">
        <v>604</v>
      </c>
      <c r="N21" s="224">
        <v>614</v>
      </c>
      <c r="O21" s="57">
        <v>20</v>
      </c>
      <c r="P21" s="223">
        <f>N21-M21</f>
        <v>10</v>
      </c>
      <c r="Q21" s="151"/>
      <c r="R21" s="60">
        <f>O21*P21+Q21</f>
        <v>200</v>
      </c>
      <c r="S21" s="61" t="s">
        <v>65</v>
      </c>
      <c r="T21" s="63" t="s">
        <v>34</v>
      </c>
      <c r="U21" s="64"/>
      <c r="V21" s="64"/>
      <c r="W21" s="67">
        <f t="shared" si="0"/>
        <v>145197</v>
      </c>
      <c r="X21" s="81">
        <f>ROUND(I37,0)</f>
        <v>145197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 customHeight="1">
      <c r="A22" s="44" t="s">
        <v>260</v>
      </c>
      <c r="B22" s="45" t="s">
        <v>263</v>
      </c>
      <c r="C22" s="55"/>
      <c r="D22" s="55"/>
      <c r="E22" s="55"/>
      <c r="F22" s="55"/>
      <c r="G22" s="55"/>
      <c r="H22" s="56"/>
      <c r="I22" s="229">
        <v>64026</v>
      </c>
      <c r="J22" s="49"/>
      <c r="K22" s="49" t="s">
        <v>178</v>
      </c>
      <c r="L22" s="225">
        <v>122848480</v>
      </c>
      <c r="M22" s="224">
        <v>166</v>
      </c>
      <c r="N22" s="224">
        <v>169</v>
      </c>
      <c r="O22" s="57">
        <v>20</v>
      </c>
      <c r="P22" s="223">
        <f>N22-M22</f>
        <v>3</v>
      </c>
      <c r="Q22" s="151"/>
      <c r="R22" s="60">
        <f>O22*P22+Q22</f>
        <v>60</v>
      </c>
      <c r="S22" s="61" t="s">
        <v>66</v>
      </c>
      <c r="T22" s="63" t="s">
        <v>35</v>
      </c>
      <c r="U22" s="64"/>
      <c r="V22" s="64"/>
      <c r="W22" s="67">
        <f t="shared" si="0"/>
        <v>193202</v>
      </c>
      <c r="X22" s="81">
        <f>ROUND(I39,0)</f>
        <v>193202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 customHeight="1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164</v>
      </c>
      <c r="Q23" s="137"/>
      <c r="R23" s="60">
        <f>R19+R21+R22+R20</f>
        <v>351</v>
      </c>
      <c r="S23" s="61" t="s">
        <v>67</v>
      </c>
      <c r="T23" s="63" t="s">
        <v>36</v>
      </c>
      <c r="U23" s="64"/>
      <c r="V23" s="64"/>
      <c r="W23" s="67">
        <f t="shared" si="0"/>
        <v>242476</v>
      </c>
      <c r="X23" s="81">
        <v>0</v>
      </c>
      <c r="Y23" s="70">
        <v>0</v>
      </c>
      <c r="Z23" s="67">
        <f>I26+I25</f>
        <v>242476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 customHeight="1">
      <c r="A24" s="44" t="s">
        <v>116</v>
      </c>
      <c r="B24" s="46" t="s">
        <v>117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68</v>
      </c>
      <c r="T24" s="64" t="s">
        <v>37</v>
      </c>
      <c r="U24" s="64"/>
      <c r="V24" s="64"/>
      <c r="W24" s="67">
        <f t="shared" si="0"/>
        <v>31645</v>
      </c>
      <c r="X24" s="81">
        <v>0</v>
      </c>
      <c r="Y24" s="70">
        <v>0</v>
      </c>
      <c r="Z24" s="67">
        <f>I41</f>
        <v>31645</v>
      </c>
      <c r="AA24" s="70">
        <v>0</v>
      </c>
      <c r="AB24" s="58"/>
      <c r="AC24" s="47" t="s">
        <v>87</v>
      </c>
      <c r="AD24" s="47"/>
      <c r="AE24" s="47"/>
      <c r="AF24" s="59"/>
      <c r="AG24" s="59"/>
      <c r="AH24" s="59"/>
      <c r="AI24" s="59"/>
      <c r="AJ24" s="59"/>
      <c r="AK24" s="58"/>
      <c r="AL24" s="47" t="s">
        <v>167</v>
      </c>
      <c r="AM24" s="47"/>
      <c r="AN24" s="47"/>
      <c r="AO24" s="59"/>
      <c r="AP24" s="59"/>
      <c r="AQ24" s="59"/>
      <c r="AR24" s="59"/>
      <c r="AS24" s="59"/>
      <c r="AT24" s="152" t="s">
        <v>45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 customHeight="1">
      <c r="A25" s="48" t="s">
        <v>118</v>
      </c>
      <c r="B25" s="48" t="s">
        <v>121</v>
      </c>
      <c r="C25" s="90"/>
      <c r="D25" s="212"/>
      <c r="E25" s="212"/>
      <c r="F25" s="68"/>
      <c r="G25" s="213"/>
      <c r="H25" s="68"/>
      <c r="I25" s="68"/>
      <c r="J25" s="63" t="s">
        <v>165</v>
      </c>
      <c r="K25" s="64"/>
      <c r="L25" s="64"/>
      <c r="M25" s="64"/>
      <c r="N25" s="64"/>
      <c r="O25" s="64"/>
      <c r="P25" s="85"/>
      <c r="Q25" s="128"/>
      <c r="R25" s="141"/>
      <c r="S25" s="61" t="s">
        <v>69</v>
      </c>
      <c r="T25" s="64" t="s">
        <v>38</v>
      </c>
      <c r="U25" s="64"/>
      <c r="V25" s="64"/>
      <c r="W25" s="67">
        <f t="shared" si="0"/>
        <v>87953</v>
      </c>
      <c r="X25" s="81">
        <v>0</v>
      </c>
      <c r="Y25" s="70">
        <v>0</v>
      </c>
      <c r="Z25" s="67">
        <f>I43</f>
        <v>87953</v>
      </c>
      <c r="AA25" s="70">
        <v>0</v>
      </c>
      <c r="AB25" s="58"/>
      <c r="AC25" s="47" t="s">
        <v>270</v>
      </c>
      <c r="AD25" s="47"/>
      <c r="AE25" s="47"/>
      <c r="AF25" s="47"/>
      <c r="AG25" s="47"/>
      <c r="AH25" s="47"/>
      <c r="AI25" s="47"/>
      <c r="AJ25" s="47"/>
      <c r="AK25" s="58"/>
      <c r="AL25" s="47" t="s">
        <v>270</v>
      </c>
      <c r="AM25" s="47"/>
      <c r="AN25" s="47"/>
      <c r="AO25" s="47"/>
      <c r="AP25" s="47"/>
      <c r="AQ25" s="47"/>
      <c r="AR25" s="47"/>
      <c r="AS25" s="47"/>
      <c r="AT25" s="46" t="s">
        <v>82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 customHeight="1">
      <c r="A26" s="49"/>
      <c r="B26" s="49" t="s">
        <v>119</v>
      </c>
      <c r="C26" s="91">
        <v>109056121</v>
      </c>
      <c r="D26" s="212">
        <v>22529.2015</v>
      </c>
      <c r="E26" s="212">
        <v>22579.7175</v>
      </c>
      <c r="F26" s="68">
        <v>4800</v>
      </c>
      <c r="G26" s="213">
        <f aca="true" t="shared" si="1" ref="G26:G43">E26-D26</f>
        <v>50.51599999999962</v>
      </c>
      <c r="H26" s="68"/>
      <c r="I26" s="236">
        <f>ROUND(F26*G26+H26,0)-1</f>
        <v>242476</v>
      </c>
      <c r="J26" s="114" t="s">
        <v>290</v>
      </c>
      <c r="K26" s="115"/>
      <c r="L26" s="115"/>
      <c r="M26" s="86"/>
      <c r="N26" s="53"/>
      <c r="O26" s="53"/>
      <c r="P26" s="53"/>
      <c r="Q26" s="53"/>
      <c r="R26" s="102"/>
      <c r="S26" s="62" t="s">
        <v>70</v>
      </c>
      <c r="T26" s="53" t="s">
        <v>39</v>
      </c>
      <c r="U26" s="53"/>
      <c r="V26" s="53"/>
      <c r="W26" s="68">
        <f>SUM(X26:AA26)</f>
        <v>5146</v>
      </c>
      <c r="X26" s="82">
        <v>0</v>
      </c>
      <c r="Y26" s="71">
        <v>0</v>
      </c>
      <c r="Z26" s="68">
        <f>I45+I46</f>
        <v>5146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83</v>
      </c>
      <c r="AU26" s="55"/>
      <c r="AV26" s="55"/>
      <c r="AW26" s="55"/>
      <c r="AX26" s="64"/>
      <c r="AY26" s="65"/>
      <c r="AZ26" s="185">
        <f>(X14+AG14+AP14)/1000</f>
        <v>2591.126</v>
      </c>
      <c r="BA26" s="169">
        <v>16</v>
      </c>
      <c r="BB26" s="174">
        <f>AZ26*BA26</f>
        <v>41458.016</v>
      </c>
    </row>
    <row r="27" spans="1:54" ht="12.75" customHeight="1">
      <c r="A27" s="48" t="s">
        <v>120</v>
      </c>
      <c r="B27" s="48" t="s">
        <v>132</v>
      </c>
      <c r="C27" s="90">
        <v>623125232</v>
      </c>
      <c r="D27" s="214">
        <v>9710.9272</v>
      </c>
      <c r="E27" s="214">
        <v>9771.6388</v>
      </c>
      <c r="F27" s="75">
        <v>1800</v>
      </c>
      <c r="G27" s="215">
        <f t="shared" si="1"/>
        <v>60.711600000000544</v>
      </c>
      <c r="H27" s="73"/>
      <c r="I27" s="75">
        <f>ROUND(G27*F27,0)</f>
        <v>109281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84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 customHeight="1">
      <c r="A28" s="49"/>
      <c r="B28" s="49" t="s">
        <v>119</v>
      </c>
      <c r="C28" s="71"/>
      <c r="D28" s="119"/>
      <c r="E28" s="119"/>
      <c r="F28" s="68"/>
      <c r="G28" s="118"/>
      <c r="H28" s="71"/>
      <c r="I28" s="68"/>
      <c r="J28" s="64" t="s">
        <v>168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224</v>
      </c>
      <c r="AC28" s="47"/>
      <c r="AD28" s="47"/>
      <c r="AE28" s="47"/>
      <c r="AF28" s="47"/>
      <c r="AG28" s="47" t="s">
        <v>225</v>
      </c>
      <c r="AH28" s="47"/>
      <c r="AI28" s="47" t="s">
        <v>226</v>
      </c>
      <c r="AJ28" s="47"/>
      <c r="AK28" s="47" t="s">
        <v>224</v>
      </c>
      <c r="AL28" s="47"/>
      <c r="AM28" s="47"/>
      <c r="AN28" s="47"/>
      <c r="AO28" s="47"/>
      <c r="AP28" s="47" t="s">
        <v>56</v>
      </c>
      <c r="AQ28" s="47"/>
      <c r="AR28" s="47" t="s">
        <v>57</v>
      </c>
      <c r="AS28" s="47"/>
      <c r="AT28" s="63" t="s">
        <v>85</v>
      </c>
      <c r="AU28" s="64"/>
      <c r="AV28" s="64"/>
      <c r="AW28" s="64"/>
      <c r="AX28" s="51"/>
      <c r="AY28" s="52"/>
      <c r="AZ28" s="185">
        <f>(Z14+AI14+AR14)/1000</f>
        <v>441.844</v>
      </c>
      <c r="BA28" s="169">
        <v>16</v>
      </c>
      <c r="BB28" s="174">
        <f>AZ28*BA28</f>
        <v>7069.504</v>
      </c>
    </row>
    <row r="29" spans="1:54" ht="12.75" customHeight="1">
      <c r="A29" s="48" t="s">
        <v>122</v>
      </c>
      <c r="B29" s="48" t="s">
        <v>133</v>
      </c>
      <c r="C29" s="90">
        <v>623125667</v>
      </c>
      <c r="D29" s="214">
        <v>12264.1186</v>
      </c>
      <c r="E29" s="214">
        <v>12332.3987</v>
      </c>
      <c r="F29" s="75">
        <v>1800</v>
      </c>
      <c r="G29" s="215">
        <f t="shared" si="1"/>
        <v>68.28009999999995</v>
      </c>
      <c r="H29" s="73"/>
      <c r="I29" s="75">
        <f>ROUND(G29*F29,0)</f>
        <v>122904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291</v>
      </c>
      <c r="AC29" s="47"/>
      <c r="AD29" s="47"/>
      <c r="AE29" s="47"/>
      <c r="AF29" s="47"/>
      <c r="AG29" s="47" t="s">
        <v>55</v>
      </c>
      <c r="AH29" s="47"/>
      <c r="AI29" s="47"/>
      <c r="AJ29" s="47"/>
      <c r="AK29" s="47" t="s">
        <v>291</v>
      </c>
      <c r="AL29" s="47"/>
      <c r="AM29" s="47"/>
      <c r="AN29" s="47"/>
      <c r="AO29" s="47"/>
      <c r="AP29" s="47" t="s">
        <v>55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 customHeight="1">
      <c r="A30" s="49"/>
      <c r="B30" s="49" t="s">
        <v>119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 customHeight="1">
      <c r="A31" s="48" t="s">
        <v>123</v>
      </c>
      <c r="B31" s="48" t="s">
        <v>134</v>
      </c>
      <c r="C31" s="90">
        <v>623126370</v>
      </c>
      <c r="D31" s="214">
        <v>3359.2593</v>
      </c>
      <c r="E31" s="214">
        <v>3405.948</v>
      </c>
      <c r="F31" s="75">
        <v>4800</v>
      </c>
      <c r="G31" s="215">
        <f t="shared" si="1"/>
        <v>46.6886999999997</v>
      </c>
      <c r="H31" s="73"/>
      <c r="I31" s="75">
        <f>ROUND(G31*F31,0)</f>
        <v>224106</v>
      </c>
      <c r="J31" s="64"/>
      <c r="K31" s="64"/>
      <c r="L31" s="154"/>
      <c r="M31" s="78"/>
      <c r="N31" s="155" t="s">
        <v>169</v>
      </c>
      <c r="O31" s="155"/>
      <c r="P31" s="83"/>
      <c r="Q31" s="64"/>
      <c r="R31" s="85"/>
      <c r="S31" s="47" t="s">
        <v>224</v>
      </c>
      <c r="T31" s="47"/>
      <c r="U31" s="47"/>
      <c r="V31" s="47"/>
      <c r="W31" s="47"/>
      <c r="X31" s="47" t="s">
        <v>225</v>
      </c>
      <c r="Y31" s="47"/>
      <c r="Z31" s="47" t="s">
        <v>226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 customHeight="1">
      <c r="A32" s="49"/>
      <c r="B32" s="49" t="s">
        <v>119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266</v>
      </c>
      <c r="O32" s="155"/>
      <c r="P32" s="83"/>
      <c r="Q32" s="64"/>
      <c r="R32" s="85"/>
      <c r="S32" s="47" t="s">
        <v>291</v>
      </c>
      <c r="T32" s="47"/>
      <c r="U32" s="47"/>
      <c r="V32" s="47"/>
      <c r="W32" s="47"/>
      <c r="X32" s="47" t="s">
        <v>55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222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 customHeight="1">
      <c r="A33" s="48" t="s">
        <v>124</v>
      </c>
      <c r="B33" s="48" t="s">
        <v>135</v>
      </c>
      <c r="C33" s="90">
        <v>623125137</v>
      </c>
      <c r="D33" s="214">
        <v>2202.7208</v>
      </c>
      <c r="E33" s="214">
        <v>2202.7208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291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54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220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 customHeight="1">
      <c r="A34" s="49"/>
      <c r="B34" s="49" t="s">
        <v>119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54</v>
      </c>
      <c r="AL34" s="47"/>
      <c r="AM34" s="47"/>
      <c r="AN34" s="47"/>
      <c r="AO34" s="47"/>
      <c r="AP34" s="47"/>
      <c r="AQ34" s="47"/>
      <c r="AR34" s="47"/>
      <c r="AS34" s="47"/>
      <c r="AT34" s="50" t="s">
        <v>223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 customHeight="1">
      <c r="A35" s="48" t="s">
        <v>125</v>
      </c>
      <c r="B35" s="48" t="s">
        <v>136</v>
      </c>
      <c r="C35" s="90">
        <v>623125142</v>
      </c>
      <c r="D35" s="214">
        <v>16201.2613</v>
      </c>
      <c r="E35" s="214">
        <v>16299.6122</v>
      </c>
      <c r="F35" s="75">
        <v>2400</v>
      </c>
      <c r="G35" s="215">
        <f t="shared" si="1"/>
        <v>98.35089999999946</v>
      </c>
      <c r="H35" s="73"/>
      <c r="I35" s="75">
        <f>ROUND(G35*F35,0)</f>
        <v>236042</v>
      </c>
      <c r="J35" s="64"/>
      <c r="K35" s="64"/>
      <c r="L35" s="154"/>
      <c r="M35" s="78"/>
      <c r="N35" s="156" t="s">
        <v>171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71</v>
      </c>
      <c r="AC35" s="47"/>
      <c r="AD35" s="47"/>
      <c r="AE35" s="47"/>
      <c r="AF35" s="47"/>
      <c r="AG35" s="47" t="s">
        <v>41</v>
      </c>
      <c r="AH35" s="47"/>
      <c r="AI35" s="47" t="s">
        <v>40</v>
      </c>
      <c r="AJ35" s="47"/>
      <c r="AK35" s="47" t="s">
        <v>227</v>
      </c>
      <c r="AL35" s="47"/>
      <c r="AM35" s="47"/>
      <c r="AN35" s="47"/>
      <c r="AO35" s="47"/>
      <c r="AP35" s="47"/>
      <c r="AQ35" s="47" t="s">
        <v>228</v>
      </c>
      <c r="AR35" s="47"/>
      <c r="AS35" s="47"/>
      <c r="AT35" s="50" t="s">
        <v>220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 customHeight="1">
      <c r="A36" s="49"/>
      <c r="B36" s="49" t="s">
        <v>119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170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86</v>
      </c>
      <c r="AC36" s="47"/>
      <c r="AD36" s="47"/>
      <c r="AE36" s="47"/>
      <c r="AF36" s="47"/>
      <c r="AG36" s="47" t="s">
        <v>55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55</v>
      </c>
      <c r="AR36" s="47"/>
      <c r="AS36" s="47"/>
      <c r="AT36" s="50" t="s">
        <v>220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 customHeight="1">
      <c r="A37" s="48" t="s">
        <v>126</v>
      </c>
      <c r="B37" s="48" t="s">
        <v>137</v>
      </c>
      <c r="C37" s="90">
        <v>623125205</v>
      </c>
      <c r="D37" s="214">
        <v>6058.3521</v>
      </c>
      <c r="E37" s="214">
        <v>6139.0171</v>
      </c>
      <c r="F37" s="75">
        <v>1800</v>
      </c>
      <c r="G37" s="215">
        <f t="shared" si="1"/>
        <v>80.66499999999996</v>
      </c>
      <c r="H37" s="73"/>
      <c r="I37" s="75">
        <f>ROUND(G37*F37,0)</f>
        <v>145197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286</v>
      </c>
      <c r="T37" s="47"/>
      <c r="U37" s="47"/>
      <c r="V37" s="47"/>
      <c r="W37" s="47"/>
      <c r="X37" s="47" t="s">
        <v>225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185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 customHeight="1">
      <c r="A38" s="49"/>
      <c r="B38" s="49" t="s">
        <v>119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55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220</v>
      </c>
      <c r="AU38" s="51"/>
      <c r="AV38" s="51" t="s">
        <v>25</v>
      </c>
      <c r="AW38" s="51"/>
      <c r="AX38" s="51"/>
      <c r="AY38" s="52"/>
      <c r="AZ38" s="170"/>
      <c r="BA38" s="182"/>
      <c r="BB38" s="169"/>
    </row>
    <row r="39" spans="1:54" ht="12.75" customHeight="1">
      <c r="A39" s="48" t="s">
        <v>127</v>
      </c>
      <c r="B39" s="48" t="s">
        <v>138</v>
      </c>
      <c r="C39" s="90">
        <v>623123704</v>
      </c>
      <c r="D39" s="214">
        <v>10856.7545</v>
      </c>
      <c r="E39" s="214">
        <v>10964.0891</v>
      </c>
      <c r="F39" s="75">
        <v>1800</v>
      </c>
      <c r="G39" s="215">
        <f t="shared" si="1"/>
        <v>107.33460000000014</v>
      </c>
      <c r="H39" s="73"/>
      <c r="I39" s="75">
        <f>ROUND(G39*F39,0)</f>
        <v>193202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221</v>
      </c>
      <c r="AU39" s="51"/>
      <c r="AV39" s="51" t="s">
        <v>218</v>
      </c>
      <c r="AW39" s="51"/>
      <c r="AX39" s="51"/>
      <c r="AY39" s="52"/>
      <c r="AZ39" s="170"/>
      <c r="BA39" s="182"/>
      <c r="BB39" s="169"/>
    </row>
    <row r="40" spans="1:54" ht="12.75" customHeight="1">
      <c r="A40" s="49"/>
      <c r="B40" s="49" t="s">
        <v>119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 customHeight="1">
      <c r="A41" s="48" t="s">
        <v>128</v>
      </c>
      <c r="B41" s="48" t="s">
        <v>139</v>
      </c>
      <c r="C41" s="90">
        <v>623125794</v>
      </c>
      <c r="D41" s="214">
        <v>321.9943</v>
      </c>
      <c r="E41" s="214">
        <v>339.5749</v>
      </c>
      <c r="F41" s="75">
        <v>1800</v>
      </c>
      <c r="G41" s="215">
        <f t="shared" si="1"/>
        <v>17.580600000000004</v>
      </c>
      <c r="H41" s="73"/>
      <c r="I41" s="75">
        <f>ROUND(G41*F41,0)</f>
        <v>31645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 customHeight="1">
      <c r="A42" s="49"/>
      <c r="B42" s="49" t="s">
        <v>119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 customHeight="1">
      <c r="A43" s="48" t="s">
        <v>129</v>
      </c>
      <c r="B43" s="48" t="s">
        <v>140</v>
      </c>
      <c r="C43" s="90">
        <v>623125736</v>
      </c>
      <c r="D43" s="214">
        <v>5370.5795</v>
      </c>
      <c r="E43" s="214">
        <v>5443.8734</v>
      </c>
      <c r="F43" s="75">
        <v>1200</v>
      </c>
      <c r="G43" s="215">
        <f t="shared" si="1"/>
        <v>73.29390000000058</v>
      </c>
      <c r="H43" s="73"/>
      <c r="I43" s="75">
        <f>ROUND(G43*F43,0)</f>
        <v>87953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185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 customHeight="1">
      <c r="A44" s="49"/>
      <c r="B44" s="49" t="s">
        <v>119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 customHeight="1">
      <c r="A45" s="48" t="s">
        <v>130</v>
      </c>
      <c r="B45" s="50" t="s">
        <v>131</v>
      </c>
      <c r="C45" s="90">
        <v>1110171156</v>
      </c>
      <c r="D45" s="214">
        <v>18525.7512</v>
      </c>
      <c r="E45" s="214">
        <v>18654.4068</v>
      </c>
      <c r="F45" s="75">
        <v>40</v>
      </c>
      <c r="G45" s="215">
        <f>E45-D45</f>
        <v>128.65560000000187</v>
      </c>
      <c r="H45" s="73"/>
      <c r="I45" s="75">
        <f>ROUND(G45*F45,0)</f>
        <v>5146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 customHeight="1">
      <c r="A46" s="49"/>
      <c r="B46" s="46" t="s">
        <v>119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189</v>
      </c>
      <c r="AW46" s="51"/>
      <c r="AX46" s="51"/>
      <c r="AY46" s="52"/>
      <c r="AZ46" s="170"/>
      <c r="BA46" s="187"/>
      <c r="BB46" s="169"/>
    </row>
    <row r="47" spans="1:54" ht="12.75" customHeight="1">
      <c r="A47" s="94"/>
      <c r="B47" s="55"/>
      <c r="C47" s="86"/>
      <c r="D47" s="92"/>
      <c r="E47" s="93"/>
      <c r="F47" s="93"/>
      <c r="G47" s="108" t="s">
        <v>141</v>
      </c>
      <c r="H47" s="56"/>
      <c r="I47" s="125">
        <f>ROUND((SUM(I25:I46)+I20),0)</f>
        <v>2807190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 customHeight="1">
      <c r="A48" s="48" t="s">
        <v>144</v>
      </c>
      <c r="B48" s="50" t="s">
        <v>142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 customHeight="1">
      <c r="A49" s="74"/>
      <c r="B49" s="63" t="s">
        <v>143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189</v>
      </c>
      <c r="AW49" s="51"/>
      <c r="AX49" s="51"/>
      <c r="AY49" s="52"/>
      <c r="AZ49" s="170"/>
      <c r="BA49" s="182"/>
      <c r="BB49" s="169"/>
    </row>
    <row r="50" spans="1:54" ht="12.75" customHeight="1">
      <c r="A50" s="50" t="s">
        <v>145</v>
      </c>
      <c r="B50" s="48" t="s">
        <v>235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271</v>
      </c>
      <c r="AW50" s="55"/>
      <c r="AX50" s="55"/>
      <c r="AY50" s="56"/>
      <c r="AZ50" s="170"/>
      <c r="BA50" s="182"/>
      <c r="BB50" s="169"/>
    </row>
    <row r="51" spans="1:54" ht="12.75" customHeight="1">
      <c r="A51" s="63"/>
      <c r="B51" s="74"/>
      <c r="C51" s="194">
        <v>611127627</v>
      </c>
      <c r="D51" s="191">
        <v>6727.1648</v>
      </c>
      <c r="E51" s="191">
        <v>6792.8772</v>
      </c>
      <c r="F51" s="60">
        <v>40</v>
      </c>
      <c r="G51" s="142">
        <f>E51-D51</f>
        <v>65.71240000000034</v>
      </c>
      <c r="H51" s="60"/>
      <c r="I51" s="60">
        <f>ROUND(F51*G51+H51,0)</f>
        <v>2628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 customHeight="1">
      <c r="A52" s="63"/>
      <c r="B52" s="49" t="s">
        <v>231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 customHeight="1">
      <c r="A53" s="48" t="s">
        <v>148</v>
      </c>
      <c r="B53" s="65"/>
      <c r="C53" s="106">
        <v>810120245</v>
      </c>
      <c r="D53" s="191">
        <v>3822.5095</v>
      </c>
      <c r="E53" s="191">
        <v>3826.3475</v>
      </c>
      <c r="F53" s="60">
        <v>3600</v>
      </c>
      <c r="G53" s="142">
        <f>E53-D53</f>
        <v>3.837999999999738</v>
      </c>
      <c r="H53" s="60"/>
      <c r="I53" s="60">
        <f>ROUND(F53*G53+H53,0)</f>
        <v>13817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339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 customHeight="1">
      <c r="A54" s="74"/>
      <c r="B54" s="65" t="s">
        <v>245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 customHeight="1">
      <c r="A55" s="74"/>
      <c r="B55" s="65"/>
      <c r="C55" s="103">
        <v>4050284</v>
      </c>
      <c r="D55" s="121">
        <v>4717.8183</v>
      </c>
      <c r="E55" s="121">
        <v>4755.9747</v>
      </c>
      <c r="F55" s="60">
        <v>3600</v>
      </c>
      <c r="G55" s="143">
        <f>E55-D55</f>
        <v>38.15639999999985</v>
      </c>
      <c r="H55" s="44"/>
      <c r="I55" s="60">
        <f>ROUND(F55*G55+H55,0)</f>
        <v>137363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 customHeight="1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 customHeight="1">
      <c r="A57" s="74" t="s">
        <v>149</v>
      </c>
      <c r="B57" s="48" t="s">
        <v>115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 customHeight="1">
      <c r="A58" s="196"/>
      <c r="B58" s="74" t="s">
        <v>114</v>
      </c>
      <c r="C58" s="194">
        <v>611127492</v>
      </c>
      <c r="D58" s="191">
        <v>23338.52</v>
      </c>
      <c r="E58" s="191">
        <v>23469.8928</v>
      </c>
      <c r="F58" s="60">
        <v>20</v>
      </c>
      <c r="G58" s="142">
        <f>E58-D58</f>
        <v>131.372800000001</v>
      </c>
      <c r="H58" s="60"/>
      <c r="I58" s="60">
        <f>ROUND(F58*G58+H58,0)</f>
        <v>2627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49</v>
      </c>
      <c r="AW58" s="47"/>
      <c r="AX58" s="47"/>
      <c r="AY58" s="47"/>
      <c r="AZ58" s="47"/>
      <c r="BA58" s="47"/>
      <c r="BB58" s="162">
        <f>BA9</f>
        <v>3.485606400715259</v>
      </c>
    </row>
    <row r="59" spans="1:54" ht="12.75" customHeight="1">
      <c r="A59" s="50" t="s">
        <v>150</v>
      </c>
      <c r="B59" s="48" t="s">
        <v>236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 customHeight="1">
      <c r="A60" s="197"/>
      <c r="B60" s="70" t="s">
        <v>281</v>
      </c>
      <c r="C60" s="194">
        <v>611127702</v>
      </c>
      <c r="D60" s="191">
        <v>34746.1576</v>
      </c>
      <c r="E60" s="191">
        <v>35159.8256</v>
      </c>
      <c r="F60" s="60">
        <v>60</v>
      </c>
      <c r="G60" s="142">
        <f>E60-D60</f>
        <v>413.66799999999785</v>
      </c>
      <c r="H60" s="44"/>
      <c r="I60" s="60">
        <f>ROUND(F60*G60+H60,0)</f>
        <v>24820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2.75" customHeight="1">
      <c r="A61" s="63"/>
      <c r="B61" s="70" t="s">
        <v>282</v>
      </c>
      <c r="C61" s="194">
        <v>611127555</v>
      </c>
      <c r="D61" s="191">
        <v>16083.4372</v>
      </c>
      <c r="E61" s="191">
        <v>16463.0904</v>
      </c>
      <c r="F61" s="60">
        <v>60</v>
      </c>
      <c r="G61" s="142">
        <f>E61-D61</f>
        <v>379.65320000000065</v>
      </c>
      <c r="H61" s="44"/>
      <c r="I61" s="60">
        <f>ROUND(F61*G61+H61,0)</f>
        <v>22779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 customHeight="1">
      <c r="A62" s="50" t="s">
        <v>151</v>
      </c>
      <c r="B62" s="48" t="s">
        <v>237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 customHeight="1">
      <c r="A63" s="197"/>
      <c r="B63" s="74"/>
      <c r="C63" s="194">
        <v>1110171163</v>
      </c>
      <c r="D63" s="191">
        <v>1423.6552</v>
      </c>
      <c r="E63" s="191">
        <v>1427.9512</v>
      </c>
      <c r="F63" s="60">
        <v>60</v>
      </c>
      <c r="G63" s="142">
        <f>E63-D63</f>
        <v>4.296000000000049</v>
      </c>
      <c r="H63" s="44"/>
      <c r="I63" s="60">
        <f>ROUND(F63*G63+H63,0)</f>
        <v>258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 customHeight="1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 customHeight="1">
      <c r="A65" s="50" t="s">
        <v>152</v>
      </c>
      <c r="B65" s="48" t="s">
        <v>238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 customHeight="1">
      <c r="A66" s="63"/>
      <c r="B66" s="74"/>
      <c r="C66" s="194">
        <v>1110171170</v>
      </c>
      <c r="D66" s="191">
        <v>230.386</v>
      </c>
      <c r="E66" s="191">
        <v>234.0528</v>
      </c>
      <c r="F66" s="60">
        <v>40</v>
      </c>
      <c r="G66" s="142">
        <f>E66-D66</f>
        <v>3.666799999999995</v>
      </c>
      <c r="H66" s="60"/>
      <c r="I66" s="60">
        <f>ROUND(F66*G66+H66,0)</f>
        <v>147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 customHeight="1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 customHeight="1">
      <c r="A68" s="50" t="s">
        <v>153</v>
      </c>
      <c r="B68" s="48" t="s">
        <v>283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2.75" customHeight="1">
      <c r="A69" s="63"/>
      <c r="B69" s="74" t="s">
        <v>284</v>
      </c>
      <c r="C69" s="194">
        <v>611126404</v>
      </c>
      <c r="D69" s="191">
        <v>645.1402</v>
      </c>
      <c r="E69" s="191">
        <v>657.143</v>
      </c>
      <c r="F69" s="60">
        <v>1800</v>
      </c>
      <c r="G69" s="142">
        <f>E69-D69</f>
        <v>12.00279999999998</v>
      </c>
      <c r="H69" s="60"/>
      <c r="I69" s="60">
        <f>ROUND((F69*G69+H69),0)</f>
        <v>21605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 customHeight="1">
      <c r="A70" s="46"/>
      <c r="B70" s="49" t="s">
        <v>247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 customHeight="1">
      <c r="A71" s="63" t="s">
        <v>233</v>
      </c>
      <c r="B71" s="74" t="s">
        <v>239</v>
      </c>
      <c r="C71" s="194">
        <v>611127724</v>
      </c>
      <c r="D71" s="191">
        <v>2130.8052</v>
      </c>
      <c r="E71" s="191">
        <v>2142.8748</v>
      </c>
      <c r="F71" s="60">
        <v>30</v>
      </c>
      <c r="G71" s="142">
        <f>E71-D71</f>
        <v>12.069600000000264</v>
      </c>
      <c r="H71" s="60"/>
      <c r="I71" s="60">
        <f>ROUND(F71*G71+H71,0)</f>
        <v>362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 customHeight="1">
      <c r="A72" s="46"/>
      <c r="B72" s="74" t="s">
        <v>277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 customHeight="1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 customHeight="1">
      <c r="A74" s="46"/>
      <c r="B74" s="53"/>
      <c r="C74" s="55"/>
      <c r="D74" s="55"/>
      <c r="E74" s="55"/>
      <c r="F74" s="55" t="s">
        <v>154</v>
      </c>
      <c r="G74" s="55"/>
      <c r="H74" s="56"/>
      <c r="I74" s="125">
        <f>ROUND((SUM(I50:I69)-I73),0)</f>
        <v>226044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 customHeight="1">
      <c r="A75" s="45"/>
      <c r="B75" s="55"/>
      <c r="C75" s="55"/>
      <c r="D75" s="55"/>
      <c r="E75" s="55"/>
      <c r="F75" s="55"/>
      <c r="G75" s="55" t="s">
        <v>155</v>
      </c>
      <c r="H75" s="56"/>
      <c r="I75" s="125">
        <f>ROUND((I18+I20-I47-I74),0)</f>
        <v>4423341</v>
      </c>
      <c r="J75" s="64"/>
      <c r="K75" s="64">
        <f>I18+I20+I22-I47-I74</f>
        <v>4487367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 customHeight="1">
      <c r="A76" s="44" t="s">
        <v>162</v>
      </c>
      <c r="B76" s="45" t="s">
        <v>156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 customHeight="1">
      <c r="A77" s="48" t="s">
        <v>160</v>
      </c>
      <c r="B77" s="48" t="s">
        <v>157</v>
      </c>
      <c r="C77" s="73">
        <v>18705639</v>
      </c>
      <c r="D77" s="124">
        <v>20380</v>
      </c>
      <c r="E77" s="124">
        <v>20475</v>
      </c>
      <c r="F77" s="75">
        <v>30</v>
      </c>
      <c r="G77" s="211">
        <f>E77-D77</f>
        <v>95</v>
      </c>
      <c r="H77" s="235">
        <v>1297</v>
      </c>
      <c r="I77" s="75">
        <f>F77*G77+H77</f>
        <v>4147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 customHeight="1">
      <c r="A78" s="49"/>
      <c r="B78" s="49" t="s">
        <v>158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 customHeight="1">
      <c r="A79" s="48" t="s">
        <v>161</v>
      </c>
      <c r="B79" s="48" t="s">
        <v>159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 customHeight="1">
      <c r="A80" s="49"/>
      <c r="B80" s="49" t="s">
        <v>158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 customHeight="1">
      <c r="A81" s="45"/>
      <c r="B81" s="55"/>
      <c r="C81" s="109"/>
      <c r="D81" s="92"/>
      <c r="E81" s="110"/>
      <c r="F81" s="110" t="s">
        <v>163</v>
      </c>
      <c r="G81" s="111"/>
      <c r="H81" s="56"/>
      <c r="I81" s="60">
        <f>I77+I79</f>
        <v>4147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 customHeight="1">
      <c r="A82" s="45"/>
      <c r="B82" s="55"/>
      <c r="C82" s="109"/>
      <c r="D82" s="92"/>
      <c r="E82" s="110"/>
      <c r="F82" s="110"/>
      <c r="G82" s="111" t="s">
        <v>164</v>
      </c>
      <c r="H82" s="56"/>
      <c r="I82" s="125">
        <f>I75+I81</f>
        <v>4427488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 customHeight="1">
      <c r="A83" s="50" t="s">
        <v>165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 customHeight="1">
      <c r="A84" s="114" t="s">
        <v>290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 customHeight="1">
      <c r="A85" s="64" t="s">
        <v>168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 customHeight="1">
      <c r="A86" s="64"/>
      <c r="B86" s="64"/>
      <c r="C86" s="78"/>
      <c r="D86" s="202" t="s">
        <v>169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 customHeight="1">
      <c r="A87" s="64"/>
      <c r="B87" s="64"/>
      <c r="C87" s="78"/>
      <c r="D87" s="202" t="s">
        <v>268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 customHeight="1">
      <c r="A88" s="64"/>
      <c r="B88" s="64"/>
      <c r="C88" s="154"/>
      <c r="D88" s="202" t="s">
        <v>291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 customHeight="1">
      <c r="A89" s="47"/>
      <c r="B89" s="47"/>
      <c r="C89" s="47"/>
      <c r="D89" s="47" t="s">
        <v>90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267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 customHeight="1">
      <c r="A90" s="47"/>
      <c r="B90" s="47"/>
      <c r="C90" s="47"/>
      <c r="D90" s="47" t="s">
        <v>91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272</v>
      </c>
      <c r="AU90" s="47"/>
      <c r="AV90" s="47"/>
      <c r="AW90" s="47"/>
      <c r="AX90" s="47"/>
      <c r="AY90" s="47"/>
      <c r="AZ90" s="47"/>
      <c r="BA90" s="47"/>
      <c r="BB90" s="47"/>
    </row>
    <row r="91" spans="1:54" ht="12.75" customHeight="1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13</v>
      </c>
      <c r="AZ91" s="89" t="s">
        <v>295</v>
      </c>
      <c r="BA91" s="47"/>
      <c r="BB91" s="47"/>
    </row>
    <row r="92" spans="1:54" ht="12.75" customHeight="1">
      <c r="A92" s="47"/>
      <c r="B92" s="47"/>
      <c r="C92" s="47" t="s">
        <v>92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26</v>
      </c>
      <c r="AU92" s="55"/>
      <c r="AV92" s="55"/>
      <c r="AW92" s="55"/>
      <c r="AX92" s="55"/>
      <c r="AY92" s="56"/>
      <c r="AZ92" s="44" t="s">
        <v>75</v>
      </c>
      <c r="BA92" s="44"/>
      <c r="BB92" s="44" t="s">
        <v>27</v>
      </c>
    </row>
    <row r="93" spans="1:54" ht="12.75" customHeight="1">
      <c r="A93" s="47"/>
      <c r="B93" s="47"/>
      <c r="C93" s="47"/>
      <c r="D93" s="167" t="s">
        <v>337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182</v>
      </c>
      <c r="AU93" s="55"/>
      <c r="AV93" s="55"/>
      <c r="AW93" s="55"/>
      <c r="AX93" s="55"/>
      <c r="AY93" s="56"/>
      <c r="AZ93" s="125">
        <v>63797</v>
      </c>
      <c r="BA93" s="92"/>
      <c r="BB93" s="188">
        <f>AZ93*BB58</f>
        <v>222371.23154643137</v>
      </c>
    </row>
    <row r="94" spans="1:54" ht="12.75" customHeight="1">
      <c r="A94" s="47" t="s">
        <v>265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181</v>
      </c>
      <c r="AU94" s="55"/>
      <c r="AV94" s="55"/>
      <c r="AW94" s="55"/>
      <c r="AX94" s="55"/>
      <c r="AY94" s="56"/>
      <c r="AZ94" s="125">
        <f>AZ131-SUM(AZ112:AZ120)-AZ109-AZ103-AZ96-AZ95-AZ93</f>
        <v>3598744</v>
      </c>
      <c r="BA94" s="92"/>
      <c r="BB94" s="188">
        <f>AZ94*BB58</f>
        <v>12543805.120935634</v>
      </c>
    </row>
    <row r="95" spans="1:54" ht="12.75" customHeight="1">
      <c r="A95" s="47" t="s">
        <v>93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274</v>
      </c>
      <c r="AU95" s="55"/>
      <c r="AV95" s="55"/>
      <c r="AW95" s="55"/>
      <c r="AX95" s="55"/>
      <c r="AY95" s="56"/>
      <c r="AZ95" s="125">
        <v>69706</v>
      </c>
      <c r="BA95" s="92"/>
      <c r="BB95" s="188">
        <f>AZ95*BB58</f>
        <v>242967.67976825783</v>
      </c>
    </row>
    <row r="96" spans="1:54" ht="12.75" customHeight="1">
      <c r="A96" s="47" t="s">
        <v>95</v>
      </c>
      <c r="B96" s="47"/>
      <c r="C96" s="47"/>
      <c r="D96" s="47"/>
      <c r="E96" s="47"/>
      <c r="F96" s="47" t="s">
        <v>94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17</v>
      </c>
      <c r="AU96" s="51"/>
      <c r="AV96" s="51"/>
      <c r="AW96" s="51"/>
      <c r="AX96" s="51"/>
      <c r="AY96" s="52"/>
      <c r="AZ96" s="189">
        <f>SUM(AZ97:AZ102)</f>
        <v>567099</v>
      </c>
      <c r="BA96" s="95"/>
      <c r="BB96" s="188">
        <f>AZ96*BB58</f>
        <v>1976683.9042392226</v>
      </c>
    </row>
    <row r="97" spans="1:54" ht="12.75" customHeight="1">
      <c r="A97" s="48" t="s">
        <v>190</v>
      </c>
      <c r="B97" s="73" t="s">
        <v>96</v>
      </c>
      <c r="C97" s="48" t="s">
        <v>97</v>
      </c>
      <c r="D97" s="116" t="s">
        <v>172</v>
      </c>
      <c r="E97" s="117"/>
      <c r="F97" s="48" t="s">
        <v>98</v>
      </c>
      <c r="G97" s="48" t="s">
        <v>213</v>
      </c>
      <c r="H97" s="48" t="s">
        <v>99</v>
      </c>
      <c r="I97" s="48" t="s">
        <v>89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18</v>
      </c>
      <c r="AU97" s="64"/>
      <c r="AV97" s="64"/>
      <c r="AW97" s="64"/>
      <c r="AX97" s="64"/>
      <c r="AY97" s="65"/>
      <c r="AZ97" s="67">
        <v>132314</v>
      </c>
      <c r="BA97" s="78"/>
      <c r="BB97" s="188">
        <f>AZ97*BB58</f>
        <v>461194.5253042388</v>
      </c>
    </row>
    <row r="98" spans="1:54" ht="12.75" customHeight="1">
      <c r="A98" s="74"/>
      <c r="B98" s="74"/>
      <c r="C98" s="74"/>
      <c r="D98" s="48" t="s">
        <v>100</v>
      </c>
      <c r="E98" s="50" t="s">
        <v>101</v>
      </c>
      <c r="F98" s="74" t="s">
        <v>102</v>
      </c>
      <c r="G98" s="74" t="s">
        <v>88</v>
      </c>
      <c r="H98" s="74"/>
      <c r="I98" s="74" t="s">
        <v>103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19</v>
      </c>
      <c r="AU98" s="64"/>
      <c r="AV98" s="64"/>
      <c r="AW98" s="64"/>
      <c r="AX98" s="64"/>
      <c r="AY98" s="65"/>
      <c r="AZ98" s="67">
        <v>305812</v>
      </c>
      <c r="BA98" s="78"/>
      <c r="BB98" s="188">
        <f>AZ98*BB58</f>
        <v>1065940.2646155348</v>
      </c>
    </row>
    <row r="99" spans="1:54" ht="12.75" customHeight="1">
      <c r="A99" s="49"/>
      <c r="B99" s="49"/>
      <c r="C99" s="49"/>
      <c r="D99" s="49" t="s">
        <v>104</v>
      </c>
      <c r="E99" s="46" t="s">
        <v>104</v>
      </c>
      <c r="F99" s="49" t="s">
        <v>105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20</v>
      </c>
      <c r="AU99" s="64"/>
      <c r="AV99" s="64"/>
      <c r="AW99" s="64"/>
      <c r="AX99" s="64"/>
      <c r="AY99" s="65"/>
      <c r="AZ99" s="67">
        <v>125761</v>
      </c>
      <c r="BA99" s="78"/>
      <c r="BB99" s="188">
        <f>AZ99*BB58</f>
        <v>438353.34656035167</v>
      </c>
    </row>
    <row r="100" spans="1:54" ht="12.75" customHeight="1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21</v>
      </c>
      <c r="AU100" s="64"/>
      <c r="AV100" s="64"/>
      <c r="AW100" s="64"/>
      <c r="AX100" s="64"/>
      <c r="AY100" s="65"/>
      <c r="AZ100" s="67">
        <v>200</v>
      </c>
      <c r="BA100" s="78"/>
      <c r="BB100" s="188">
        <f>AZ100*BB58</f>
        <v>697.1212801430518</v>
      </c>
    </row>
    <row r="101" spans="1:54" ht="12.75" customHeight="1">
      <c r="A101" s="46"/>
      <c r="B101" s="53"/>
      <c r="C101" s="209" t="s">
        <v>173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22</v>
      </c>
      <c r="AU101" s="64"/>
      <c r="AV101" s="64"/>
      <c r="AW101" s="64"/>
      <c r="AX101" s="64"/>
      <c r="AY101" s="65"/>
      <c r="AZ101" s="67">
        <v>2012</v>
      </c>
      <c r="BA101" s="78"/>
      <c r="BB101" s="188">
        <f>AZ101*BB58</f>
        <v>7013.040078239101</v>
      </c>
    </row>
    <row r="102" spans="1:54" ht="12.75" customHeight="1">
      <c r="A102" s="44"/>
      <c r="B102" s="45" t="s">
        <v>264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3485.606400715259</v>
      </c>
    </row>
    <row r="103" spans="1:54" ht="12.75" customHeight="1">
      <c r="A103" s="73">
        <v>1</v>
      </c>
      <c r="B103" s="48" t="s">
        <v>146</v>
      </c>
      <c r="C103" s="90">
        <v>804152757</v>
      </c>
      <c r="D103" s="121">
        <v>2839.9475</v>
      </c>
      <c r="E103" s="121">
        <v>2885.3769</v>
      </c>
      <c r="F103" s="60">
        <v>36000</v>
      </c>
      <c r="G103" s="142">
        <f>E103-D103</f>
        <v>45.42939999999999</v>
      </c>
      <c r="H103" s="44"/>
      <c r="I103" s="60">
        <f>F103*G103+H103</f>
        <v>1635458.3999999994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183</v>
      </c>
      <c r="AU103" s="51"/>
      <c r="AV103" s="51"/>
      <c r="AW103" s="51"/>
      <c r="AX103" s="51"/>
      <c r="AY103" s="52"/>
      <c r="AZ103" s="189">
        <f>SUM(AZ104:AZ108)</f>
        <v>8152</v>
      </c>
      <c r="BA103" s="95"/>
      <c r="BB103" s="188">
        <f>AZ103*BB58</f>
        <v>28414.66337863079</v>
      </c>
    </row>
    <row r="104" spans="1:54" ht="12.75" customHeight="1">
      <c r="A104" s="49"/>
      <c r="B104" s="46" t="s">
        <v>147</v>
      </c>
      <c r="C104" s="106">
        <v>109054169</v>
      </c>
      <c r="D104" s="121">
        <v>3486.3476</v>
      </c>
      <c r="E104" s="121">
        <v>3530.0626</v>
      </c>
      <c r="F104" s="60">
        <v>36000</v>
      </c>
      <c r="G104" s="142">
        <f>E104-D104</f>
        <v>43.715000000000146</v>
      </c>
      <c r="H104" s="44"/>
      <c r="I104" s="60">
        <f>F104*G104+H104</f>
        <v>1573740.0000000051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208</v>
      </c>
      <c r="AV104" s="64"/>
      <c r="AW104" s="64"/>
      <c r="AX104" s="64"/>
      <c r="AY104" s="65"/>
      <c r="AZ104" s="67">
        <v>1280</v>
      </c>
      <c r="BA104" s="78"/>
      <c r="BB104" s="188">
        <f>AZ104*BB58</f>
        <v>4461.5761929155315</v>
      </c>
    </row>
    <row r="105" spans="1:54" ht="12.75" customHeight="1">
      <c r="A105" s="45"/>
      <c r="B105" s="55"/>
      <c r="C105" s="53"/>
      <c r="D105" s="55"/>
      <c r="E105" s="55"/>
      <c r="F105" s="107" t="s">
        <v>109</v>
      </c>
      <c r="G105" s="55"/>
      <c r="H105" s="56"/>
      <c r="I105" s="60">
        <f>I103+I104</f>
        <v>3209198.4000000046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204</v>
      </c>
      <c r="AU105" s="64"/>
      <c r="AV105" s="64" t="s">
        <v>184</v>
      </c>
      <c r="AW105" s="64"/>
      <c r="AX105" s="64"/>
      <c r="AY105" s="65"/>
      <c r="AZ105" s="67">
        <v>3360</v>
      </c>
      <c r="BA105" s="78"/>
      <c r="BB105" s="188">
        <f>AZ105*BB58</f>
        <v>11711.63750640327</v>
      </c>
    </row>
    <row r="106" spans="1:54" ht="12.75" customHeight="1">
      <c r="A106" s="44" t="s">
        <v>110</v>
      </c>
      <c r="B106" s="45" t="s">
        <v>111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204</v>
      </c>
      <c r="AU106" s="64"/>
      <c r="AV106" s="64" t="s">
        <v>209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 customHeight="1">
      <c r="A107" s="44" t="s">
        <v>112</v>
      </c>
      <c r="B107" s="44" t="s">
        <v>113</v>
      </c>
      <c r="C107" s="106">
        <v>109053225</v>
      </c>
      <c r="D107" s="121">
        <v>8078.264</v>
      </c>
      <c r="E107" s="121">
        <v>8103.2666</v>
      </c>
      <c r="F107" s="60">
        <v>21000</v>
      </c>
      <c r="G107" s="142">
        <f>E107-D107</f>
        <v>25.002599999999802</v>
      </c>
      <c r="H107" s="44"/>
      <c r="I107" s="60">
        <f>F107*G107+H107</f>
        <v>525054.5999999959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210</v>
      </c>
      <c r="AW107" s="64"/>
      <c r="AX107" s="64"/>
      <c r="AY107" s="64"/>
      <c r="AZ107" s="67">
        <v>80</v>
      </c>
      <c r="BA107" s="70"/>
      <c r="BB107" s="188">
        <f>AZ107*BB58</f>
        <v>278.8485120572207</v>
      </c>
    </row>
    <row r="108" spans="1:54" ht="12.75" customHeight="1">
      <c r="A108" s="44" t="s">
        <v>259</v>
      </c>
      <c r="B108" s="55" t="s">
        <v>262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60</v>
      </c>
      <c r="AU108" s="53"/>
      <c r="AV108" s="101"/>
      <c r="AW108" s="101"/>
      <c r="AX108" s="53"/>
      <c r="AY108" s="54"/>
      <c r="AZ108" s="68">
        <v>3432</v>
      </c>
      <c r="BA108" s="86"/>
      <c r="BB108" s="188">
        <f>AZ108*BB58</f>
        <v>11962.601167254768</v>
      </c>
    </row>
    <row r="109" spans="1:54" ht="12.75" customHeight="1">
      <c r="A109" s="44" t="s">
        <v>260</v>
      </c>
      <c r="B109" s="45" t="s">
        <v>263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273</v>
      </c>
      <c r="AU109" s="51"/>
      <c r="AV109" s="51"/>
      <c r="AW109" s="51"/>
      <c r="AX109" s="51"/>
      <c r="AY109" s="52"/>
      <c r="AZ109" s="189">
        <f>AZ110+AZ111</f>
        <v>24779</v>
      </c>
      <c r="BA109" s="95"/>
      <c r="BB109" s="188">
        <f>AZ109*BB58</f>
        <v>86369.8410033234</v>
      </c>
    </row>
    <row r="110" spans="1:54" ht="12.75" customHeight="1">
      <c r="A110" s="45" t="s">
        <v>261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23</v>
      </c>
      <c r="AU110" s="64"/>
      <c r="AV110" s="64"/>
      <c r="AW110" s="64"/>
      <c r="AX110" s="64"/>
      <c r="AY110" s="65"/>
      <c r="AZ110" s="67">
        <v>5531</v>
      </c>
      <c r="BA110" s="78"/>
      <c r="BB110" s="188">
        <f>AZ110*BB58</f>
        <v>19278.889002356096</v>
      </c>
    </row>
    <row r="111" spans="1:54" ht="12.75" customHeight="1">
      <c r="A111" s="44" t="s">
        <v>116</v>
      </c>
      <c r="B111" s="45" t="s">
        <v>117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24</v>
      </c>
      <c r="AU111" s="53"/>
      <c r="AV111" s="53"/>
      <c r="AW111" s="53"/>
      <c r="AX111" s="53"/>
      <c r="AY111" s="54"/>
      <c r="AZ111" s="68">
        <v>19248</v>
      </c>
      <c r="BA111" s="86"/>
      <c r="BB111" s="188">
        <f>AZ111*BB58</f>
        <v>67090.9520009673</v>
      </c>
    </row>
    <row r="112" spans="1:54" ht="12.75" customHeight="1">
      <c r="A112" s="48" t="s">
        <v>118</v>
      </c>
      <c r="B112" s="48" t="s">
        <v>121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211</v>
      </c>
      <c r="AU112" s="55"/>
      <c r="AV112" s="55"/>
      <c r="AW112" s="55"/>
      <c r="AX112" s="55"/>
      <c r="AY112" s="56"/>
      <c r="AZ112" s="125">
        <v>9000</v>
      </c>
      <c r="BA112" s="92"/>
      <c r="BB112" s="188">
        <f>AZ112*BB58</f>
        <v>31370.457606437332</v>
      </c>
    </row>
    <row r="113" spans="1:54" ht="12.75" customHeight="1">
      <c r="A113" s="49"/>
      <c r="B113" s="49" t="s">
        <v>119</v>
      </c>
      <c r="C113" s="91">
        <v>109056121</v>
      </c>
      <c r="D113" s="212">
        <v>6809.8088</v>
      </c>
      <c r="E113" s="212">
        <v>6835.8609</v>
      </c>
      <c r="F113" s="68">
        <v>4800</v>
      </c>
      <c r="G113" s="213">
        <f aca="true" t="shared" si="2" ref="G113:G132">E113-D113</f>
        <v>26.052099999999882</v>
      </c>
      <c r="H113" s="68"/>
      <c r="I113" s="68">
        <f>F113*G113+H113</f>
        <v>125050.07999999943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59</v>
      </c>
      <c r="AU113" s="55"/>
      <c r="AV113" s="55"/>
      <c r="AW113" s="55"/>
      <c r="AX113" s="55"/>
      <c r="AY113" s="56"/>
      <c r="AZ113" s="125">
        <v>21120</v>
      </c>
      <c r="BA113" s="92"/>
      <c r="BB113" s="188">
        <f>AZ113*BB58</f>
        <v>73616.00718310627</v>
      </c>
    </row>
    <row r="114" spans="1:54" ht="12.75" customHeight="1">
      <c r="A114" s="48" t="s">
        <v>120</v>
      </c>
      <c r="B114" s="48" t="s">
        <v>132</v>
      </c>
      <c r="C114" s="90">
        <v>623125232</v>
      </c>
      <c r="D114" s="214">
        <v>3180.4007</v>
      </c>
      <c r="E114" s="214">
        <v>3208.5427</v>
      </c>
      <c r="F114" s="75">
        <v>1800</v>
      </c>
      <c r="G114" s="215">
        <f t="shared" si="2"/>
        <v>28.141999999999825</v>
      </c>
      <c r="H114" s="73"/>
      <c r="I114" s="75">
        <f>G114*F114</f>
        <v>50655.599999999686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200</v>
      </c>
      <c r="AU114" s="55"/>
      <c r="AV114" s="55"/>
      <c r="AW114" s="55"/>
      <c r="AX114" s="55"/>
      <c r="AY114" s="56"/>
      <c r="AZ114" s="125">
        <v>12789</v>
      </c>
      <c r="BA114" s="92"/>
      <c r="BB114" s="188">
        <f>AZ114*BB58</f>
        <v>44577.42025874745</v>
      </c>
    </row>
    <row r="115" spans="1:54" ht="12.75" customHeight="1">
      <c r="A115" s="49"/>
      <c r="B115" s="49" t="s">
        <v>119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180</v>
      </c>
      <c r="AU115" s="55"/>
      <c r="AV115" s="55"/>
      <c r="AW115" s="55"/>
      <c r="AX115" s="55"/>
      <c r="AY115" s="56"/>
      <c r="AZ115" s="125">
        <v>2872</v>
      </c>
      <c r="BA115" s="92"/>
      <c r="BB115" s="188">
        <f>AZ115*BB58</f>
        <v>10010.661582854224</v>
      </c>
    </row>
    <row r="116" spans="1:54" ht="12.75" customHeight="1">
      <c r="A116" s="48" t="s">
        <v>122</v>
      </c>
      <c r="B116" s="48" t="s">
        <v>133</v>
      </c>
      <c r="C116" s="90">
        <v>623125667</v>
      </c>
      <c r="D116" s="214">
        <v>4277.7372</v>
      </c>
      <c r="E116" s="214">
        <v>4313.2425</v>
      </c>
      <c r="F116" s="75">
        <v>1800</v>
      </c>
      <c r="G116" s="215">
        <f t="shared" si="2"/>
        <v>35.505300000000716</v>
      </c>
      <c r="H116" s="73"/>
      <c r="I116" s="75">
        <f>G116*F116</f>
        <v>63909.54000000129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17500</v>
      </c>
      <c r="BA116" s="92"/>
      <c r="BB116" s="188">
        <f>AZ116*BB58</f>
        <v>60998.112012517035</v>
      </c>
    </row>
    <row r="117" spans="1:54" ht="12.75" customHeight="1">
      <c r="A117" s="49"/>
      <c r="B117" s="49" t="s">
        <v>119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6000</v>
      </c>
      <c r="BA117" s="92"/>
      <c r="BB117" s="188">
        <f>AZ117*BB58</f>
        <v>20913.638404291552</v>
      </c>
    </row>
    <row r="118" spans="1:54" ht="12.75" customHeight="1">
      <c r="A118" s="48" t="s">
        <v>123</v>
      </c>
      <c r="B118" s="48" t="s">
        <v>134</v>
      </c>
      <c r="C118" s="90">
        <v>623126370</v>
      </c>
      <c r="D118" s="214">
        <v>884.2432</v>
      </c>
      <c r="E118" s="214">
        <v>897.823</v>
      </c>
      <c r="F118" s="75">
        <v>4800</v>
      </c>
      <c r="G118" s="215">
        <f t="shared" si="2"/>
        <v>13.579799999999977</v>
      </c>
      <c r="H118" s="73"/>
      <c r="I118" s="75">
        <f>G118*F118</f>
        <v>65183.03999999989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207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174.28032003576294</v>
      </c>
    </row>
    <row r="119" spans="1:54" ht="12.75" customHeight="1">
      <c r="A119" s="49"/>
      <c r="B119" s="49" t="s">
        <v>119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202</v>
      </c>
      <c r="AU119" s="107"/>
      <c r="AV119" s="55"/>
      <c r="AW119" s="55"/>
      <c r="AX119" s="55"/>
      <c r="AY119" s="56"/>
      <c r="AZ119" s="125">
        <v>25880</v>
      </c>
      <c r="BA119" s="92"/>
      <c r="BB119" s="188">
        <f>AZ119*BB58</f>
        <v>90207.4936505109</v>
      </c>
    </row>
    <row r="120" spans="1:54" ht="12.75" customHeight="1">
      <c r="A120" s="48" t="s">
        <v>124</v>
      </c>
      <c r="B120" s="48" t="s">
        <v>135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 customHeight="1">
      <c r="A121" s="49"/>
      <c r="B121" s="49" t="s">
        <v>119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 customHeight="1">
      <c r="A122" s="48" t="s">
        <v>125</v>
      </c>
      <c r="B122" s="48" t="s">
        <v>136</v>
      </c>
      <c r="C122" s="90">
        <v>623125142</v>
      </c>
      <c r="D122" s="214">
        <v>2850.1564</v>
      </c>
      <c r="E122" s="214">
        <v>2881.8025</v>
      </c>
      <c r="F122" s="75">
        <v>2400</v>
      </c>
      <c r="G122" s="215">
        <f t="shared" si="2"/>
        <v>31.646099999999933</v>
      </c>
      <c r="H122" s="73"/>
      <c r="I122" s="75">
        <f>G122*F122</f>
        <v>75950.63999999984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 customHeight="1">
      <c r="A123" s="49"/>
      <c r="B123" s="49" t="s">
        <v>119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 customHeight="1">
      <c r="A124" s="48" t="s">
        <v>126</v>
      </c>
      <c r="B124" s="48" t="s">
        <v>137</v>
      </c>
      <c r="C124" s="90">
        <v>623125205</v>
      </c>
      <c r="D124" s="214">
        <v>2401.8584</v>
      </c>
      <c r="E124" s="214">
        <v>2444.3256</v>
      </c>
      <c r="F124" s="75">
        <v>1800</v>
      </c>
      <c r="G124" s="215">
        <f t="shared" si="2"/>
        <v>42.46720000000005</v>
      </c>
      <c r="H124" s="73"/>
      <c r="I124" s="75">
        <f>G124*F124</f>
        <v>76440.96000000008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 customHeight="1">
      <c r="A125" s="49"/>
      <c r="B125" s="49" t="s">
        <v>119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 customHeight="1">
      <c r="A126" s="48" t="s">
        <v>127</v>
      </c>
      <c r="B126" s="48" t="s">
        <v>138</v>
      </c>
      <c r="C126" s="90">
        <v>623123704</v>
      </c>
      <c r="D126" s="214">
        <v>2917.4827</v>
      </c>
      <c r="E126" s="214">
        <v>2963.1999</v>
      </c>
      <c r="F126" s="75">
        <v>1800</v>
      </c>
      <c r="G126" s="215">
        <f t="shared" si="2"/>
        <v>45.71720000000005</v>
      </c>
      <c r="H126" s="73"/>
      <c r="I126" s="75">
        <f>G126*F126</f>
        <v>82290.96000000008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 customHeight="1">
      <c r="A127" s="49"/>
      <c r="B127" s="49" t="s">
        <v>119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 customHeight="1">
      <c r="A128" s="48" t="s">
        <v>128</v>
      </c>
      <c r="B128" s="48" t="s">
        <v>139</v>
      </c>
      <c r="C128" s="90">
        <v>623125794</v>
      </c>
      <c r="D128" s="214">
        <v>233.7023</v>
      </c>
      <c r="E128" s="214">
        <v>245.6502</v>
      </c>
      <c r="F128" s="75">
        <v>1800</v>
      </c>
      <c r="G128" s="215">
        <f>E128-D128</f>
        <v>11.947900000000004</v>
      </c>
      <c r="H128" s="73"/>
      <c r="I128" s="75">
        <f>G128*F128</f>
        <v>21506.22000000001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 customHeight="1">
      <c r="A129" s="49"/>
      <c r="B129" s="49" t="s">
        <v>119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 customHeight="1">
      <c r="A130" s="48" t="s">
        <v>129</v>
      </c>
      <c r="B130" s="48" t="s">
        <v>140</v>
      </c>
      <c r="C130" s="90">
        <v>623125736</v>
      </c>
      <c r="D130" s="214">
        <v>3269.1461</v>
      </c>
      <c r="E130" s="214">
        <v>3309.9361</v>
      </c>
      <c r="F130" s="75">
        <v>1200</v>
      </c>
      <c r="G130" s="215">
        <f t="shared" si="2"/>
        <v>40.789999999999964</v>
      </c>
      <c r="H130" s="73"/>
      <c r="I130" s="75">
        <f>G130*F130</f>
        <v>48947.999999999956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 customHeight="1">
      <c r="A131" s="49"/>
      <c r="B131" s="49" t="s">
        <v>119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4427488</v>
      </c>
      <c r="BA131" s="47"/>
      <c r="BB131" s="165">
        <f>SUM(BB93:BB96)+BB103+BB109+SUM(BB112:BB126)</f>
        <v>15432480.511890002</v>
      </c>
    </row>
    <row r="132" spans="1:54" ht="12.75" customHeight="1">
      <c r="A132" s="48" t="s">
        <v>130</v>
      </c>
      <c r="B132" s="50" t="s">
        <v>131</v>
      </c>
      <c r="C132" s="90">
        <v>1110171156</v>
      </c>
      <c r="D132" s="214">
        <v>1996.2992</v>
      </c>
      <c r="E132" s="214">
        <v>2034.91</v>
      </c>
      <c r="F132" s="75">
        <v>40</v>
      </c>
      <c r="G132" s="215">
        <f t="shared" si="2"/>
        <v>38.610800000000154</v>
      </c>
      <c r="H132" s="73"/>
      <c r="I132" s="75">
        <f>G132*F132</f>
        <v>1544.4320000000062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 customHeight="1">
      <c r="A133" s="49"/>
      <c r="B133" s="46" t="s">
        <v>119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 customHeight="1">
      <c r="A134" s="94"/>
      <c r="B134" s="55"/>
      <c r="C134" s="86"/>
      <c r="D134" s="92"/>
      <c r="E134" s="93"/>
      <c r="F134" s="93"/>
      <c r="G134" s="108" t="s">
        <v>141</v>
      </c>
      <c r="H134" s="56"/>
      <c r="I134" s="125">
        <f>SUM(I112:I133)+I107</f>
        <v>1136534.0719999962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340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 customHeight="1">
      <c r="A135" s="48" t="s">
        <v>144</v>
      </c>
      <c r="B135" s="50" t="s">
        <v>142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 customHeight="1">
      <c r="A136" s="74"/>
      <c r="B136" s="63" t="s">
        <v>143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48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 customHeight="1">
      <c r="A137" s="50" t="s">
        <v>145</v>
      </c>
      <c r="B137" s="48" t="s">
        <v>240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 customHeight="1">
      <c r="A138" s="63"/>
      <c r="B138" s="74"/>
      <c r="C138" s="194">
        <v>611127627</v>
      </c>
      <c r="D138" s="191">
        <v>2789.2368</v>
      </c>
      <c r="E138" s="191">
        <v>2870.8952</v>
      </c>
      <c r="F138" s="60">
        <v>40</v>
      </c>
      <c r="G138" s="142">
        <f>E138-D138</f>
        <v>81.6583999999998</v>
      </c>
      <c r="H138" s="60"/>
      <c r="I138" s="60">
        <f>ROUND(F138*G138+H138,0)</f>
        <v>3266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 customHeight="1">
      <c r="A139" s="63"/>
      <c r="B139" s="49" t="s">
        <v>231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302</v>
      </c>
      <c r="AX139" s="47"/>
      <c r="AY139" s="47"/>
      <c r="AZ139" s="47"/>
      <c r="BA139" s="47"/>
      <c r="BB139" s="47"/>
    </row>
    <row r="140" spans="1:54" ht="12.75" customHeight="1">
      <c r="A140" s="48" t="s">
        <v>148</v>
      </c>
      <c r="B140" s="65"/>
      <c r="C140" s="106">
        <v>810120245</v>
      </c>
      <c r="D140" s="191">
        <v>1349.6652</v>
      </c>
      <c r="E140" s="191">
        <v>1351.4563</v>
      </c>
      <c r="F140" s="60">
        <v>3600</v>
      </c>
      <c r="G140" s="142">
        <f aca="true" t="shared" si="3" ref="G140:G145">E140-D140</f>
        <v>1.7911000000001422</v>
      </c>
      <c r="H140" s="60"/>
      <c r="I140" s="60">
        <f aca="true" t="shared" si="4" ref="I140:I145">ROUND(F140*G140+H140,0)</f>
        <v>6448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304</v>
      </c>
      <c r="AX140" s="47"/>
      <c r="AY140" s="47"/>
      <c r="AZ140" s="47"/>
      <c r="BA140" s="47"/>
      <c r="BB140" s="47"/>
    </row>
    <row r="141" spans="1:54" ht="12.75" customHeight="1">
      <c r="A141" s="74"/>
      <c r="B141" s="65" t="s">
        <v>246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 customHeight="1">
      <c r="A142" s="74"/>
      <c r="B142" s="65"/>
      <c r="C142" s="103">
        <v>4050284</v>
      </c>
      <c r="D142" s="121">
        <v>4490.6366</v>
      </c>
      <c r="E142" s="121">
        <v>4512.9564</v>
      </c>
      <c r="F142" s="60">
        <v>3600</v>
      </c>
      <c r="G142" s="143">
        <f t="shared" si="3"/>
        <v>22.319800000000214</v>
      </c>
      <c r="H142" s="44"/>
      <c r="I142" s="60">
        <f t="shared" si="4"/>
        <v>80351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 customHeight="1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321</v>
      </c>
      <c r="AX143" s="47"/>
      <c r="AY143" s="47"/>
      <c r="AZ143" s="47"/>
      <c r="BA143" s="47"/>
      <c r="BB143" s="47"/>
    </row>
    <row r="144" spans="1:54" ht="12.75" customHeight="1">
      <c r="A144" s="74" t="s">
        <v>149</v>
      </c>
      <c r="B144" s="48" t="s">
        <v>115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316</v>
      </c>
      <c r="AX144" s="47"/>
      <c r="AY144" s="47"/>
      <c r="AZ144" s="47"/>
      <c r="BA144" s="47"/>
      <c r="BB144" s="47"/>
    </row>
    <row r="145" spans="1:54" ht="12.75" customHeight="1">
      <c r="A145" s="196"/>
      <c r="B145" s="74" t="s">
        <v>114</v>
      </c>
      <c r="C145" s="194">
        <v>611127492</v>
      </c>
      <c r="D145" s="191">
        <v>6493.4576</v>
      </c>
      <c r="E145" s="191">
        <v>6545.104</v>
      </c>
      <c r="F145" s="60">
        <v>20</v>
      </c>
      <c r="G145" s="142">
        <f t="shared" si="3"/>
        <v>51.64640000000054</v>
      </c>
      <c r="H145" s="60"/>
      <c r="I145" s="60">
        <f t="shared" si="4"/>
        <v>1033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 customHeight="1">
      <c r="A146" s="50" t="s">
        <v>150</v>
      </c>
      <c r="B146" s="48" t="s">
        <v>241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320</v>
      </c>
      <c r="AX146" s="47"/>
      <c r="AY146" s="47"/>
      <c r="AZ146" s="47"/>
      <c r="BA146" s="47"/>
      <c r="BB146" s="47"/>
    </row>
    <row r="147" spans="1:54" ht="12.75" customHeight="1">
      <c r="A147" s="197"/>
      <c r="B147" s="70" t="s">
        <v>281</v>
      </c>
      <c r="C147" s="194">
        <v>611127702</v>
      </c>
      <c r="D147" s="191">
        <v>7404.124</v>
      </c>
      <c r="E147" s="191">
        <v>7459.5964</v>
      </c>
      <c r="F147" s="60">
        <v>60</v>
      </c>
      <c r="G147" s="142">
        <f>E147-D147</f>
        <v>55.47240000000056</v>
      </c>
      <c r="H147" s="44"/>
      <c r="I147" s="60">
        <f>ROUND(F147*G147+H147,0)</f>
        <v>3328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322</v>
      </c>
      <c r="AX147" s="47"/>
      <c r="AY147" s="47"/>
      <c r="AZ147" s="47"/>
      <c r="BA147" s="47"/>
      <c r="BB147" s="47"/>
    </row>
    <row r="148" spans="1:54" ht="12.75" customHeight="1">
      <c r="A148" s="63"/>
      <c r="B148" s="70" t="s">
        <v>282</v>
      </c>
      <c r="C148" s="194">
        <v>611127555</v>
      </c>
      <c r="D148" s="191">
        <v>3029.862</v>
      </c>
      <c r="E148" s="191">
        <v>3135.902</v>
      </c>
      <c r="F148" s="60">
        <v>60</v>
      </c>
      <c r="G148" s="142">
        <f>E148-D148</f>
        <v>106.03999999999996</v>
      </c>
      <c r="H148" s="44"/>
      <c r="I148" s="60">
        <f>ROUND(F148*G148+H148,0)</f>
        <v>6362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327</v>
      </c>
      <c r="AX148" s="47"/>
      <c r="AY148" s="47"/>
      <c r="AZ148" s="47"/>
      <c r="BA148" s="47"/>
      <c r="BB148" s="47"/>
    </row>
    <row r="149" spans="1:54" ht="12.75" customHeight="1">
      <c r="A149" s="50" t="s">
        <v>151</v>
      </c>
      <c r="B149" s="48" t="s">
        <v>242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325</v>
      </c>
      <c r="AX149" s="47"/>
      <c r="AY149" s="47"/>
      <c r="AZ149" s="47"/>
      <c r="BA149" s="47"/>
      <c r="BB149" s="47"/>
    </row>
    <row r="150" spans="1:54" ht="12.75" customHeight="1">
      <c r="A150" s="197"/>
      <c r="B150" s="74"/>
      <c r="C150" s="194">
        <v>1110171163</v>
      </c>
      <c r="D150" s="121">
        <v>704.6112</v>
      </c>
      <c r="E150" s="121">
        <v>705.8628</v>
      </c>
      <c r="F150" s="60">
        <v>60</v>
      </c>
      <c r="G150" s="142">
        <f>E150-D150</f>
        <v>1.2515999999999394</v>
      </c>
      <c r="H150" s="44"/>
      <c r="I150" s="60">
        <f>ROUND(F150*G150+H150,0)</f>
        <v>75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326</v>
      </c>
      <c r="AX150" s="47"/>
      <c r="AY150" s="47"/>
      <c r="AZ150" s="47"/>
      <c r="BA150" s="47"/>
      <c r="BB150" s="47"/>
    </row>
    <row r="151" spans="1:54" ht="12.75" customHeight="1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332</v>
      </c>
      <c r="AX151" s="47"/>
      <c r="AY151" s="47"/>
      <c r="AZ151" s="47"/>
      <c r="BA151" s="47"/>
      <c r="BB151" s="47"/>
    </row>
    <row r="152" spans="1:54" ht="12.75" customHeight="1">
      <c r="A152" s="50" t="s">
        <v>152</v>
      </c>
      <c r="B152" s="48" t="s">
        <v>243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 customHeight="1">
      <c r="A153" s="63"/>
      <c r="B153" s="74"/>
      <c r="C153" s="194">
        <v>1110171170</v>
      </c>
      <c r="D153" s="191">
        <v>250.9596</v>
      </c>
      <c r="E153" s="191">
        <v>256.2848</v>
      </c>
      <c r="F153" s="60">
        <v>40</v>
      </c>
      <c r="G153" s="142">
        <f>E153-D153</f>
        <v>5.325200000000024</v>
      </c>
      <c r="H153" s="60"/>
      <c r="I153" s="60">
        <f>ROUND(F153*G153+H153,0)</f>
        <v>213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328</v>
      </c>
      <c r="AX153" s="47"/>
      <c r="AY153" s="47"/>
      <c r="AZ153" s="47"/>
      <c r="BA153" s="47"/>
      <c r="BB153" s="47"/>
    </row>
    <row r="154" spans="1:54" ht="12.75" customHeight="1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329</v>
      </c>
      <c r="AX154" s="47"/>
      <c r="AY154" s="47"/>
      <c r="AZ154" s="47"/>
      <c r="BA154" s="47"/>
      <c r="BB154" s="47"/>
    </row>
    <row r="155" spans="1:54" ht="12.75" customHeight="1">
      <c r="A155" s="48" t="s">
        <v>153</v>
      </c>
      <c r="B155" s="52" t="s">
        <v>276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330</v>
      </c>
      <c r="AX155" s="47"/>
      <c r="AY155" s="47"/>
      <c r="AZ155" s="47"/>
      <c r="BA155" s="47"/>
      <c r="BB155" s="47"/>
    </row>
    <row r="156" spans="1:54" ht="12.75" customHeight="1">
      <c r="A156" s="74"/>
      <c r="B156" s="65" t="s">
        <v>232</v>
      </c>
      <c r="C156" s="194">
        <v>611126404</v>
      </c>
      <c r="D156" s="191">
        <v>964.1507</v>
      </c>
      <c r="E156" s="191">
        <v>983.6169</v>
      </c>
      <c r="F156" s="60">
        <v>1800</v>
      </c>
      <c r="G156" s="142">
        <f>E156-D156</f>
        <v>19.466199999999958</v>
      </c>
      <c r="H156" s="60"/>
      <c r="I156" s="60">
        <f>ROUND(F156*G156+H156,0)</f>
        <v>35039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331</v>
      </c>
      <c r="AX156" s="47"/>
      <c r="AY156" s="47"/>
      <c r="AZ156" s="47"/>
      <c r="BA156" s="47"/>
      <c r="BB156" s="47"/>
    </row>
    <row r="157" spans="1:54" ht="12.75" customHeight="1">
      <c r="A157" s="49"/>
      <c r="B157" s="54" t="s">
        <v>247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 customHeight="1">
      <c r="A158" s="63" t="s">
        <v>233</v>
      </c>
      <c r="B158" s="48" t="s">
        <v>244</v>
      </c>
      <c r="C158" s="194">
        <v>611127724</v>
      </c>
      <c r="D158" s="191">
        <v>745.38</v>
      </c>
      <c r="E158" s="191">
        <v>751.078</v>
      </c>
      <c r="F158" s="60">
        <v>30</v>
      </c>
      <c r="G158" s="142">
        <f>E158-D158</f>
        <v>5.697999999999979</v>
      </c>
      <c r="H158" s="60"/>
      <c r="I158" s="60">
        <f>ROUND(F158*G158+H158,0)</f>
        <v>171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 customHeight="1">
      <c r="A159" s="46"/>
      <c r="B159" s="74" t="s">
        <v>275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 customHeight="1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154</v>
      </c>
      <c r="G161" s="55"/>
      <c r="H161" s="56"/>
      <c r="I161" s="125">
        <f>SUM(I137:I159)-I160</f>
        <v>136286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155</v>
      </c>
      <c r="H162" s="56"/>
      <c r="I162" s="125">
        <f>I103+I104+I107+I108+I109+I110-I134-I161</f>
        <v>2461432.928000004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162</v>
      </c>
      <c r="B163" s="45" t="s">
        <v>156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160</v>
      </c>
      <c r="B164" s="48" t="s">
        <v>157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158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161</v>
      </c>
      <c r="B166" s="48" t="s">
        <v>159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158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163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164</v>
      </c>
      <c r="H169" s="56"/>
      <c r="I169" s="125">
        <f>I162+I168</f>
        <v>2461432.928000004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165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290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168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169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268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291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257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251</v>
      </c>
      <c r="BA178" s="47" t="s">
        <v>27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248</v>
      </c>
      <c r="AZ179" s="190">
        <f>AZ183+AZ184+AZ185</f>
        <v>2742934</v>
      </c>
      <c r="BA179" s="218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249</v>
      </c>
      <c r="AZ180" s="190">
        <f>AZ187-AZ179-AZ181</f>
        <v>-2742934</v>
      </c>
      <c r="BA180" s="218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250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252</v>
      </c>
      <c r="AZ183" s="217">
        <v>2742934</v>
      </c>
      <c r="BA183" s="216"/>
    </row>
    <row r="184" spans="51:53" ht="12.75">
      <c r="AY184" s="47"/>
      <c r="AZ184" s="217"/>
      <c r="BA184" s="216"/>
    </row>
    <row r="185" spans="51:53" ht="12.75">
      <c r="AY185" s="47"/>
      <c r="AZ185" s="217"/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</sheetData>
  <sheetProtection/>
  <printOptions/>
  <pageMargins left="0.7874015748031497" right="0.1968503937007874" top="0.1968503937007874" bottom="0.1968503937007874" header="0.3937007874015748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главного энергетика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Гришанов Игорь Владимирович</dc:creator>
  <cp:keywords/>
  <dc:description/>
  <cp:lastModifiedBy>Сергей Ю. Ничков</cp:lastModifiedBy>
  <cp:lastPrinted>2021-09-02T08:09:25Z</cp:lastPrinted>
  <dcterms:created xsi:type="dcterms:W3CDTF">1997-07-03T12:02:26Z</dcterms:created>
  <dcterms:modified xsi:type="dcterms:W3CDTF">2021-09-13T09:39:51Z</dcterms:modified>
  <cp:category/>
  <cp:version/>
  <cp:contentType/>
  <cp:contentStatus/>
</cp:coreProperties>
</file>